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updateLinks="never" defaultThemeVersion="124226"/>
  <mc:AlternateContent xmlns:mc="http://schemas.openxmlformats.org/markup-compatibility/2006">
    <mc:Choice Requires="x15">
      <x15ac:absPath xmlns:x15ac="http://schemas.microsoft.com/office/spreadsheetml/2010/11/ac" url="F:\28-10-2016\Iveta aktuální I\Rozpočet\2023\"/>
    </mc:Choice>
  </mc:AlternateContent>
  <xr:revisionPtr revIDLastSave="0" documentId="13_ncr:1_{7174D8F9-1DEF-457F-B5EF-59BB020F71B0}" xr6:coauthVersionLast="36" xr6:coauthVersionMax="36" xr10:uidLastSave="{00000000-0000-0000-0000-000000000000}"/>
  <bookViews>
    <workbookView xWindow="15570" yWindow="375" windowWidth="12915" windowHeight="8445" tabRatio="914" xr2:uid="{00000000-000D-0000-FFFF-FFFF00000000}"/>
  </bookViews>
  <sheets>
    <sheet name="Rozdělení financí FF 2023" sheetId="1" r:id="rId1"/>
    <sheet name="tab A-2023" sheetId="3" r:id="rId2"/>
    <sheet name="Rozpis P2 a děkanátu 2023" sheetId="4" r:id="rId3"/>
    <sheet name="Rozdělení financí FF2023 detail" sheetId="26" r:id="rId4"/>
    <sheet name="Zápočty a Zk" sheetId="28" r:id="rId5"/>
    <sheet name="VŠKP" sheetId="29" r:id="rId6"/>
    <sheet name="Počty studentů" sheetId="27" r:id="rId7"/>
    <sheet name="Granty I" sheetId="8" r:id="rId8"/>
    <sheet name="Granty II" sheetId="31" r:id="rId9"/>
    <sheet name="Výstupy do RIV" sheetId="33" r:id="rId10"/>
    <sheet name="Modul 1" sheetId="32" r:id="rId11"/>
    <sheet name="Modul 2" sheetId="35" r:id="rId12"/>
    <sheet name="Modul 3" sheetId="36" r:id="rId13"/>
    <sheet name="Mobility" sheetId="30" r:id="rId14"/>
    <sheet name="Garantovana_mista_2023" sheetId="20" r:id="rId15"/>
    <sheet name="Garanti" sheetId="23" r:id="rId16"/>
    <sheet name="Opravy 2023" sheetId="13" r:id="rId17"/>
    <sheet name="Provoz 2023" sheetId="5" r:id="rId18"/>
    <sheet name="FPP k 31-12-2022" sheetId="38" r:id="rId19"/>
    <sheet name="CELKEM 2023" sheetId="40" r:id="rId20"/>
    <sheet name="CELKEM 2022" sheetId="39" r:id="rId21"/>
    <sheet name="CELKEM 2021" sheetId="37" r:id="rId22"/>
    <sheet name="Celkem 2020" sheetId="34" r:id="rId23"/>
  </sheets>
  <externalReferences>
    <externalReference r:id="rId24"/>
    <externalReference r:id="rId25"/>
    <externalReference r:id="rId26"/>
    <externalReference r:id="rId27"/>
    <externalReference r:id="rId28"/>
    <externalReference r:id="rId29"/>
    <externalReference r:id="rId30"/>
  </externalReferences>
  <definedNames>
    <definedName name="_xlnm._FilterDatabase" localSheetId="5" hidden="1">VŠKP!$A$27:$D$93</definedName>
    <definedName name="_xlnm._FilterDatabase" localSheetId="4" hidden="1">'Zápočty a Zk'!$A$27:$E$54</definedName>
  </definedNames>
  <calcPr calcId="191029"/>
</workbook>
</file>

<file path=xl/calcChain.xml><?xml version="1.0" encoding="utf-8"?>
<calcChain xmlns="http://schemas.openxmlformats.org/spreadsheetml/2006/main">
  <c r="L37" i="20" l="1"/>
  <c r="F46" i="31"/>
  <c r="F43" i="31"/>
  <c r="F37" i="31"/>
  <c r="D46" i="31"/>
  <c r="D37" i="31"/>
  <c r="D58" i="31"/>
  <c r="I37" i="8"/>
  <c r="H33" i="8"/>
  <c r="G34" i="8"/>
  <c r="G36" i="8"/>
  <c r="C43" i="8"/>
  <c r="C29" i="23"/>
  <c r="D29" i="23" s="1"/>
  <c r="E29" i="23" s="1"/>
  <c r="F29" i="23" s="1"/>
  <c r="C32" i="23"/>
  <c r="D32" i="23" s="1"/>
  <c r="C25" i="23"/>
  <c r="D25" i="23" s="1"/>
  <c r="E25" i="23" s="1"/>
  <c r="E32" i="23" l="1"/>
  <c r="F32" i="23"/>
  <c r="F25" i="23"/>
  <c r="O18" i="27"/>
  <c r="N18" i="27"/>
  <c r="M18" i="27"/>
  <c r="L18" i="27"/>
  <c r="K18" i="27"/>
  <c r="J18" i="27"/>
  <c r="I18" i="27"/>
  <c r="H18" i="27"/>
  <c r="G18" i="27"/>
  <c r="F18" i="27"/>
  <c r="E18" i="27"/>
  <c r="D18" i="27"/>
  <c r="C18" i="27"/>
  <c r="B18" i="27"/>
  <c r="D58" i="29"/>
  <c r="D57" i="29"/>
  <c r="D56" i="29"/>
  <c r="D54" i="29"/>
  <c r="C16" i="29" s="1"/>
  <c r="D55" i="29"/>
  <c r="E16" i="29" s="1"/>
  <c r="D52" i="29"/>
  <c r="D51" i="29"/>
  <c r="G8" i="29" s="1"/>
  <c r="D50" i="29"/>
  <c r="D49" i="29"/>
  <c r="D47" i="29"/>
  <c r="D46" i="29"/>
  <c r="D45" i="29"/>
  <c r="D43" i="29"/>
  <c r="D42" i="29"/>
  <c r="D41" i="29"/>
  <c r="D40" i="29"/>
  <c r="D39" i="29"/>
  <c r="D37" i="29"/>
  <c r="D36" i="29"/>
  <c r="D35" i="29"/>
  <c r="D34" i="29"/>
  <c r="D33" i="29"/>
  <c r="D32" i="29"/>
  <c r="D31" i="29"/>
  <c r="D29" i="29"/>
  <c r="D28" i="29"/>
  <c r="D40" i="28"/>
  <c r="C40" i="28"/>
  <c r="D39" i="28"/>
  <c r="C39" i="28"/>
  <c r="D38" i="28"/>
  <c r="C38" i="28"/>
  <c r="D37" i="28"/>
  <c r="C37" i="28"/>
  <c r="D36" i="28"/>
  <c r="C36" i="28"/>
  <c r="D35" i="28"/>
  <c r="C35" i="28"/>
  <c r="D34" i="28"/>
  <c r="C34" i="28"/>
  <c r="D33" i="28"/>
  <c r="C33" i="28"/>
  <c r="D32" i="28"/>
  <c r="C32" i="28"/>
  <c r="D31" i="28"/>
  <c r="C31" i="28"/>
  <c r="D30" i="28"/>
  <c r="C30" i="28"/>
  <c r="D29" i="28"/>
  <c r="C29" i="28"/>
  <c r="D28" i="28"/>
  <c r="C28" i="28"/>
  <c r="G25" i="29" l="1"/>
  <c r="G10" i="29"/>
  <c r="C25" i="29"/>
  <c r="E25" i="29"/>
  <c r="D21" i="1" l="1"/>
  <c r="D20" i="1"/>
  <c r="D19" i="1"/>
  <c r="D18" i="1"/>
  <c r="D17" i="1"/>
  <c r="D16" i="1"/>
  <c r="D15" i="1"/>
  <c r="D14" i="1"/>
  <c r="D13" i="1"/>
  <c r="D12" i="1"/>
  <c r="D11" i="1"/>
  <c r="D10" i="1"/>
  <c r="D9" i="1"/>
  <c r="D8" i="1"/>
  <c r="D7" i="1"/>
  <c r="D6" i="1"/>
  <c r="D5" i="1"/>
  <c r="D4" i="1"/>
  <c r="R40" i="26"/>
  <c r="R39" i="26"/>
  <c r="R38" i="26"/>
  <c r="R37" i="26"/>
  <c r="R36" i="26"/>
  <c r="R35" i="26"/>
  <c r="R34" i="26"/>
  <c r="R33" i="26"/>
  <c r="R32" i="26"/>
  <c r="R31" i="26"/>
  <c r="R30" i="26"/>
  <c r="R29" i="26"/>
  <c r="R28" i="26"/>
  <c r="R27" i="26"/>
  <c r="R26" i="26"/>
  <c r="R25" i="26"/>
  <c r="R24" i="26"/>
  <c r="R23" i="26"/>
  <c r="B24" i="5"/>
  <c r="B27" i="3" l="1"/>
  <c r="B26" i="3"/>
  <c r="D50" i="20" l="1"/>
  <c r="D49" i="20"/>
  <c r="D48" i="20"/>
  <c r="E37" i="20" l="1"/>
  <c r="F37" i="20"/>
  <c r="D37" i="20"/>
  <c r="D22" i="20"/>
  <c r="E22" i="20"/>
  <c r="F22" i="20"/>
  <c r="G22" i="20"/>
  <c r="H22" i="20"/>
  <c r="C22" i="20"/>
  <c r="H33" i="20"/>
  <c r="G33" i="20"/>
  <c r="F33" i="20"/>
  <c r="E33" i="20"/>
  <c r="D33" i="20"/>
  <c r="C33" i="20"/>
  <c r="D2" i="20"/>
  <c r="E2" i="20"/>
  <c r="F2" i="20"/>
  <c r="G2" i="20"/>
  <c r="H2" i="20"/>
  <c r="C2" i="20"/>
  <c r="P37" i="20" l="1"/>
  <c r="L11" i="20"/>
  <c r="L8" i="20"/>
  <c r="L13" i="20"/>
  <c r="L17" i="20"/>
  <c r="L15" i="20"/>
  <c r="L12" i="20"/>
  <c r="L6" i="20"/>
  <c r="L20" i="20" s="1"/>
  <c r="L7" i="20"/>
  <c r="L9" i="20"/>
  <c r="L14" i="20"/>
  <c r="L18" i="20"/>
  <c r="L10" i="20"/>
  <c r="L19" i="20"/>
  <c r="L16" i="20"/>
  <c r="L29" i="20"/>
  <c r="L27" i="20"/>
  <c r="L28" i="20"/>
  <c r="L26" i="20"/>
  <c r="I37" i="20"/>
  <c r="J37" i="20" s="1"/>
  <c r="L30" i="20" l="1"/>
  <c r="D36" i="23"/>
  <c r="E36" i="23" s="1"/>
  <c r="D19" i="13"/>
  <c r="D22" i="13" s="1"/>
  <c r="D10" i="13"/>
  <c r="F36" i="23" l="1"/>
  <c r="C24" i="5" l="1"/>
  <c r="D51" i="40" l="1"/>
  <c r="B51" i="40"/>
  <c r="E50" i="40"/>
  <c r="C50" i="40"/>
  <c r="F50" i="40" s="1"/>
  <c r="E49" i="40"/>
  <c r="D49" i="40"/>
  <c r="E48" i="40"/>
  <c r="E47" i="40"/>
  <c r="E46" i="40"/>
  <c r="E45" i="40"/>
  <c r="D45" i="40"/>
  <c r="E44" i="40"/>
  <c r="E51" i="40" s="1"/>
  <c r="H34" i="40"/>
  <c r="H32" i="40"/>
  <c r="K32" i="40" s="1"/>
  <c r="N32" i="40" s="1"/>
  <c r="K31" i="40"/>
  <c r="N31" i="40" s="1"/>
  <c r="H31" i="40"/>
  <c r="K30" i="40"/>
  <c r="N30" i="40" s="1"/>
  <c r="H30" i="40"/>
  <c r="K29" i="40"/>
  <c r="J28" i="40"/>
  <c r="I28" i="40"/>
  <c r="H28" i="40"/>
  <c r="G28" i="40"/>
  <c r="F28" i="40"/>
  <c r="C28" i="40"/>
  <c r="B28" i="40"/>
  <c r="J27" i="40"/>
  <c r="I27" i="40"/>
  <c r="H27" i="40"/>
  <c r="G27" i="40"/>
  <c r="F27" i="40"/>
  <c r="E27" i="40"/>
  <c r="E35" i="40" s="1"/>
  <c r="C27" i="40"/>
  <c r="J26" i="40"/>
  <c r="I26" i="40"/>
  <c r="H26" i="40"/>
  <c r="G26" i="40"/>
  <c r="F26" i="40"/>
  <c r="D26" i="40"/>
  <c r="C26" i="40"/>
  <c r="J25" i="40"/>
  <c r="I25" i="40"/>
  <c r="H25" i="40"/>
  <c r="G25" i="40"/>
  <c r="F25" i="40"/>
  <c r="D25" i="40"/>
  <c r="C25" i="40"/>
  <c r="J24" i="40"/>
  <c r="I24" i="40"/>
  <c r="H24" i="40"/>
  <c r="G24" i="40"/>
  <c r="F24" i="40"/>
  <c r="D24" i="40"/>
  <c r="C24" i="40"/>
  <c r="J23" i="40"/>
  <c r="I23" i="40"/>
  <c r="H23" i="40"/>
  <c r="G23" i="40"/>
  <c r="F23" i="40"/>
  <c r="C23" i="40"/>
  <c r="J22" i="40"/>
  <c r="I22" i="40"/>
  <c r="H22" i="40"/>
  <c r="G22" i="40"/>
  <c r="F22" i="40"/>
  <c r="F35" i="40" s="1"/>
  <c r="D22" i="40"/>
  <c r="D35" i="40" s="1"/>
  <c r="C22" i="40"/>
  <c r="K21" i="40"/>
  <c r="G21" i="40"/>
  <c r="F21" i="40"/>
  <c r="E21" i="40"/>
  <c r="D21" i="40"/>
  <c r="C21" i="40"/>
  <c r="B21" i="40"/>
  <c r="N20" i="40"/>
  <c r="M20" i="40"/>
  <c r="B14" i="40"/>
  <c r="L12" i="40"/>
  <c r="M11" i="40"/>
  <c r="L11" i="40"/>
  <c r="L10" i="40"/>
  <c r="L9" i="40"/>
  <c r="M9" i="40" s="1"/>
  <c r="L8" i="40"/>
  <c r="M7" i="40"/>
  <c r="L7" i="40"/>
  <c r="F7" i="40"/>
  <c r="E7" i="40"/>
  <c r="M6" i="40"/>
  <c r="L6" i="40"/>
  <c r="E6" i="40"/>
  <c r="M12" i="40" s="1"/>
  <c r="L5" i="40"/>
  <c r="M5" i="40" s="1"/>
  <c r="E5" i="40"/>
  <c r="C51" i="40" s="1"/>
  <c r="C35" i="40" l="1"/>
  <c r="H35" i="40"/>
  <c r="J33" i="40"/>
  <c r="G35" i="40"/>
  <c r="K28" i="40"/>
  <c r="J35" i="40"/>
  <c r="B34" i="40"/>
  <c r="K34" i="40" s="1"/>
  <c r="C46" i="40"/>
  <c r="F46" i="40" s="1"/>
  <c r="B24" i="40" s="1"/>
  <c r="K24" i="40" s="1"/>
  <c r="C45" i="40"/>
  <c r="F45" i="40" s="1"/>
  <c r="B23" i="40" s="1"/>
  <c r="K23" i="40" s="1"/>
  <c r="C47" i="40"/>
  <c r="F47" i="40" s="1"/>
  <c r="B25" i="40" s="1"/>
  <c r="K25" i="40" s="1"/>
  <c r="C49" i="40"/>
  <c r="F49" i="40" s="1"/>
  <c r="B27" i="40" s="1"/>
  <c r="K27" i="40" s="1"/>
  <c r="C44" i="40"/>
  <c r="F44" i="40" s="1"/>
  <c r="C48" i="40"/>
  <c r="F48" i="40" s="1"/>
  <c r="B26" i="40" s="1"/>
  <c r="K26" i="40" s="1"/>
  <c r="N28" i="40"/>
  <c r="M28" i="40"/>
  <c r="L13" i="40"/>
  <c r="I33" i="40"/>
  <c r="K33" i="40" s="1"/>
  <c r="M30" i="40"/>
  <c r="M31" i="40"/>
  <c r="M32" i="40"/>
  <c r="M8" i="40"/>
  <c r="M10" i="40"/>
  <c r="M13" i="40" l="1"/>
  <c r="M26" i="40"/>
  <c r="N26" i="40"/>
  <c r="M23" i="40"/>
  <c r="N23" i="40"/>
  <c r="F51" i="40"/>
  <c r="B22" i="40"/>
  <c r="N24" i="40"/>
  <c r="M24" i="40"/>
  <c r="M33" i="40"/>
  <c r="N33" i="40"/>
  <c r="I35" i="40"/>
  <c r="M27" i="40"/>
  <c r="N27" i="40"/>
  <c r="N25" i="40"/>
  <c r="M25" i="40"/>
  <c r="B35" i="40" l="1"/>
  <c r="K22" i="40"/>
  <c r="N22" i="40" l="1"/>
  <c r="N35" i="40" s="1"/>
  <c r="K35" i="40"/>
  <c r="M35" i="40" s="1"/>
  <c r="M22" i="40"/>
  <c r="G23" i="38" l="1"/>
  <c r="D17" i="38" l="1"/>
  <c r="B32" i="38"/>
  <c r="B33" i="38" s="1"/>
  <c r="E32" i="38"/>
  <c r="E33" i="38" s="1"/>
  <c r="D32" i="38"/>
  <c r="D33" i="38" s="1"/>
  <c r="C32" i="38"/>
  <c r="C33" i="38" s="1"/>
  <c r="O6" i="38"/>
  <c r="N6" i="38"/>
  <c r="M6" i="38"/>
  <c r="L6" i="38"/>
  <c r="K6" i="38"/>
  <c r="J6" i="38"/>
  <c r="I6" i="38"/>
  <c r="H6" i="38"/>
  <c r="G6" i="38"/>
  <c r="F6" i="38"/>
  <c r="E6" i="38"/>
  <c r="D6" i="38"/>
  <c r="D8" i="38" s="1"/>
  <c r="C6" i="38"/>
  <c r="B6" i="38"/>
  <c r="F62" i="31" l="1"/>
  <c r="U6" i="30"/>
  <c r="U7" i="27"/>
  <c r="B50" i="39" l="1"/>
  <c r="E49" i="39"/>
  <c r="C49" i="39"/>
  <c r="E48" i="39"/>
  <c r="E47" i="39"/>
  <c r="D47" i="39"/>
  <c r="D50" i="39" s="1"/>
  <c r="E46" i="39"/>
  <c r="E45" i="39"/>
  <c r="E44" i="39"/>
  <c r="E43" i="39"/>
  <c r="K34" i="39"/>
  <c r="G33" i="39"/>
  <c r="G31" i="39"/>
  <c r="J31" i="39" s="1"/>
  <c r="G30" i="39"/>
  <c r="J30" i="39" s="1"/>
  <c r="J29" i="39"/>
  <c r="I28" i="39"/>
  <c r="H28" i="39"/>
  <c r="G28" i="39"/>
  <c r="F28" i="39"/>
  <c r="C28" i="39"/>
  <c r="I27" i="39"/>
  <c r="H27" i="39"/>
  <c r="G27" i="39"/>
  <c r="F27" i="39"/>
  <c r="C27" i="39"/>
  <c r="I26" i="39"/>
  <c r="H26" i="39"/>
  <c r="G26" i="39"/>
  <c r="F26" i="39"/>
  <c r="C26" i="39"/>
  <c r="I25" i="39"/>
  <c r="H25" i="39"/>
  <c r="G25" i="39"/>
  <c r="F25" i="39"/>
  <c r="C25" i="39"/>
  <c r="I24" i="39"/>
  <c r="H24" i="39"/>
  <c r="G24" i="39"/>
  <c r="F24" i="39"/>
  <c r="C24" i="39"/>
  <c r="I23" i="39"/>
  <c r="H23" i="39"/>
  <c r="H34" i="39" s="1"/>
  <c r="G23" i="39"/>
  <c r="F23" i="39"/>
  <c r="C23" i="39"/>
  <c r="I22" i="39"/>
  <c r="H22" i="39"/>
  <c r="H32" i="39" s="1"/>
  <c r="G22" i="39"/>
  <c r="F22" i="39"/>
  <c r="C22" i="39"/>
  <c r="J21" i="39"/>
  <c r="F21" i="39"/>
  <c r="E21" i="39"/>
  <c r="D21" i="39"/>
  <c r="C21" i="39"/>
  <c r="B21" i="39"/>
  <c r="M20" i="39"/>
  <c r="L20" i="39"/>
  <c r="K12" i="39"/>
  <c r="L12" i="39" s="1"/>
  <c r="B12" i="39"/>
  <c r="K11" i="39"/>
  <c r="B11" i="39"/>
  <c r="E27" i="39" s="1"/>
  <c r="E34" i="39" s="1"/>
  <c r="K10" i="39"/>
  <c r="B10" i="39"/>
  <c r="D25" i="39" s="1"/>
  <c r="K9" i="39"/>
  <c r="L9" i="39" s="1"/>
  <c r="B9" i="39"/>
  <c r="D24" i="39" s="1"/>
  <c r="K8" i="39"/>
  <c r="L8" i="39" s="1"/>
  <c r="B8" i="39"/>
  <c r="D26" i="39" s="1"/>
  <c r="K7" i="39"/>
  <c r="F7" i="39"/>
  <c r="B7" i="39"/>
  <c r="D22" i="39" s="1"/>
  <c r="D34" i="39" s="1"/>
  <c r="K6" i="39"/>
  <c r="L6" i="39" s="1"/>
  <c r="E6" i="39"/>
  <c r="B6" i="39"/>
  <c r="K5" i="39"/>
  <c r="E5" i="39"/>
  <c r="E7" i="39" s="1"/>
  <c r="B5" i="39"/>
  <c r="B28" i="39" s="1"/>
  <c r="I32" i="39" l="1"/>
  <c r="M30" i="39"/>
  <c r="L30" i="39"/>
  <c r="M31" i="39"/>
  <c r="L31" i="39"/>
  <c r="C34" i="39"/>
  <c r="F34" i="39"/>
  <c r="F49" i="39"/>
  <c r="I34" i="39"/>
  <c r="E50" i="39"/>
  <c r="B33" i="39" s="1"/>
  <c r="J33" i="39" s="1"/>
  <c r="K13" i="39"/>
  <c r="G34" i="39"/>
  <c r="J28" i="39"/>
  <c r="M28" i="39" s="1"/>
  <c r="L10" i="39"/>
  <c r="J32" i="39"/>
  <c r="L5" i="39"/>
  <c r="C50" i="39"/>
  <c r="L7" i="39"/>
  <c r="L11" i="39"/>
  <c r="B14" i="39"/>
  <c r="L28" i="39" l="1"/>
  <c r="L13" i="39"/>
  <c r="L32" i="39"/>
  <c r="M32" i="39"/>
  <c r="C45" i="39"/>
  <c r="F45" i="39" s="1"/>
  <c r="B24" i="39" s="1"/>
  <c r="J24" i="39" s="1"/>
  <c r="C46" i="39"/>
  <c r="F46" i="39" s="1"/>
  <c r="B25" i="39" s="1"/>
  <c r="J25" i="39" s="1"/>
  <c r="C48" i="39"/>
  <c r="F48" i="39" s="1"/>
  <c r="B27" i="39" s="1"/>
  <c r="J27" i="39" s="1"/>
  <c r="C47" i="39"/>
  <c r="F47" i="39" s="1"/>
  <c r="B26" i="39" s="1"/>
  <c r="J26" i="39" s="1"/>
  <c r="C43" i="39"/>
  <c r="F43" i="39" s="1"/>
  <c r="C44" i="39"/>
  <c r="F44" i="39" s="1"/>
  <c r="B23" i="39" s="1"/>
  <c r="J23" i="39" s="1"/>
  <c r="M23" i="39" l="1"/>
  <c r="L23" i="39"/>
  <c r="M25" i="39"/>
  <c r="L25" i="39"/>
  <c r="F50" i="39"/>
  <c r="B22" i="39"/>
  <c r="L24" i="39"/>
  <c r="M24" i="39"/>
  <c r="L26" i="39"/>
  <c r="M26" i="39"/>
  <c r="M27" i="39"/>
  <c r="L27" i="39"/>
  <c r="J22" i="39" l="1"/>
  <c r="B34" i="39"/>
  <c r="J34" i="39" l="1"/>
  <c r="L34" i="39" s="1"/>
  <c r="M22" i="39"/>
  <c r="M34" i="39" s="1"/>
  <c r="L22" i="39"/>
  <c r="F68" i="31" l="1"/>
  <c r="F67" i="31"/>
  <c r="D71" i="31"/>
  <c r="D70" i="31"/>
  <c r="D64" i="31"/>
  <c r="D62" i="31"/>
  <c r="C68" i="31"/>
  <c r="C67" i="31"/>
  <c r="I71" i="8"/>
  <c r="H58" i="8"/>
  <c r="G59" i="8"/>
  <c r="G61" i="8"/>
  <c r="H8" i="8"/>
  <c r="H9" i="8"/>
  <c r="H10" i="8"/>
  <c r="H11" i="8"/>
  <c r="H12" i="8"/>
  <c r="H13" i="8"/>
  <c r="H14" i="8"/>
  <c r="H15" i="8"/>
  <c r="H16" i="8"/>
  <c r="H17" i="8"/>
  <c r="H18" i="8"/>
  <c r="H19" i="8"/>
  <c r="H20" i="8"/>
  <c r="H21" i="8"/>
  <c r="H22" i="8"/>
  <c r="H23" i="8"/>
  <c r="H24" i="8"/>
  <c r="H7" i="8"/>
  <c r="H50" i="8"/>
  <c r="H75" i="8"/>
  <c r="H100" i="8"/>
  <c r="H25" i="8" l="1"/>
  <c r="G20" i="29"/>
  <c r="E20" i="29"/>
  <c r="C20" i="29"/>
  <c r="E19" i="29"/>
  <c r="C19" i="29"/>
  <c r="G17" i="29"/>
  <c r="E17" i="29"/>
  <c r="C17" i="29"/>
  <c r="G15" i="29"/>
  <c r="E15" i="29"/>
  <c r="C15" i="29"/>
  <c r="G13" i="29"/>
  <c r="E13" i="29"/>
  <c r="C13" i="29"/>
  <c r="G12" i="29"/>
  <c r="E12" i="29"/>
  <c r="C12" i="29"/>
  <c r="E11" i="29"/>
  <c r="C11" i="29"/>
  <c r="G9" i="29"/>
  <c r="E10" i="29"/>
  <c r="E9" i="29"/>
  <c r="E8" i="29"/>
  <c r="C10" i="29"/>
  <c r="C9" i="29"/>
  <c r="C8" i="29"/>
  <c r="C7" i="29"/>
  <c r="E6" i="29"/>
  <c r="G6" i="29"/>
  <c r="C6" i="29"/>
  <c r="P6" i="27" l="1"/>
  <c r="J25" i="33" l="1"/>
  <c r="L10" i="35"/>
  <c r="C10" i="35" s="1"/>
  <c r="L11" i="35"/>
  <c r="C11" i="35" s="1"/>
  <c r="H25" i="35" l="1"/>
  <c r="I25" i="35"/>
  <c r="J25" i="35"/>
  <c r="K25" i="35"/>
  <c r="G25" i="35"/>
  <c r="G25" i="32" l="1"/>
  <c r="H25" i="32"/>
  <c r="I25" i="32"/>
  <c r="J25" i="32"/>
  <c r="K25" i="32"/>
  <c r="L10" i="32"/>
  <c r="C10" i="32" s="1"/>
  <c r="L11" i="32"/>
  <c r="C11" i="32" s="1"/>
  <c r="L10" i="33"/>
  <c r="O10" i="33" s="1"/>
  <c r="L11" i="33"/>
  <c r="O11" i="33" s="1"/>
  <c r="G25" i="33"/>
  <c r="H25" i="33"/>
  <c r="I25" i="33"/>
  <c r="K25" i="33"/>
  <c r="C10" i="33" l="1"/>
  <c r="C11" i="33"/>
  <c r="L23" i="33"/>
  <c r="O23" i="33" s="1"/>
  <c r="L19" i="33"/>
  <c r="O19" i="33" s="1"/>
  <c r="L16" i="33"/>
  <c r="O16" i="33" s="1"/>
  <c r="L12" i="33"/>
  <c r="O12" i="33" s="1"/>
  <c r="L13" i="33"/>
  <c r="O13" i="33" s="1"/>
  <c r="L14" i="33"/>
  <c r="O14" i="33" s="1"/>
  <c r="L7" i="33"/>
  <c r="O7" i="33" s="1"/>
  <c r="L18" i="33"/>
  <c r="O18" i="33" s="1"/>
  <c r="L21" i="33"/>
  <c r="O21" i="33" s="1"/>
  <c r="L22" i="33"/>
  <c r="O22" i="33" s="1"/>
  <c r="L20" i="33"/>
  <c r="O20" i="33" s="1"/>
  <c r="L17" i="33"/>
  <c r="O17" i="33" s="1"/>
  <c r="L8" i="33"/>
  <c r="O8" i="33" s="1"/>
  <c r="L9" i="33"/>
  <c r="L24" i="33"/>
  <c r="O24" i="33" s="1"/>
  <c r="L15" i="33"/>
  <c r="O15" i="33" s="1"/>
  <c r="L25" i="33" l="1"/>
  <c r="O25" i="33"/>
  <c r="C7" i="33"/>
  <c r="C9" i="33"/>
  <c r="O9" i="33"/>
  <c r="E22" i="13"/>
  <c r="E19" i="13"/>
  <c r="E10" i="13"/>
  <c r="D24" i="5"/>
  <c r="E34" i="38" l="1"/>
  <c r="D34" i="38"/>
  <c r="C34" i="38"/>
  <c r="B34" i="38"/>
  <c r="F33" i="38"/>
  <c r="C40" i="38" s="1"/>
  <c r="F32" i="38"/>
  <c r="O23" i="38"/>
  <c r="N23" i="38"/>
  <c r="M23" i="38"/>
  <c r="L23" i="38"/>
  <c r="K23" i="38"/>
  <c r="J23" i="38"/>
  <c r="I23" i="38"/>
  <c r="H23" i="38"/>
  <c r="F23" i="38"/>
  <c r="E23" i="38"/>
  <c r="D23" i="38"/>
  <c r="C23" i="38"/>
  <c r="B23" i="38"/>
  <c r="P22" i="38"/>
  <c r="P21" i="38"/>
  <c r="P20" i="38"/>
  <c r="M18" i="38"/>
  <c r="K18" i="38"/>
  <c r="I18" i="38"/>
  <c r="G18" i="38"/>
  <c r="C18" i="38"/>
  <c r="B18" i="38"/>
  <c r="L18" i="38"/>
  <c r="P15" i="38"/>
  <c r="O13" i="38"/>
  <c r="N13" i="38"/>
  <c r="M13" i="38"/>
  <c r="L13" i="38"/>
  <c r="J13" i="38"/>
  <c r="I13" i="38"/>
  <c r="H13" i="38"/>
  <c r="F13" i="38"/>
  <c r="E13" i="38"/>
  <c r="D13" i="38"/>
  <c r="C13" i="38"/>
  <c r="P12" i="38"/>
  <c r="P11" i="38"/>
  <c r="O8" i="38"/>
  <c r="O18" i="38" s="1"/>
  <c r="N8" i="38"/>
  <c r="N18" i="38" s="1"/>
  <c r="M8" i="38"/>
  <c r="L8" i="38"/>
  <c r="K8" i="38"/>
  <c r="K10" i="38" s="1"/>
  <c r="K13" i="38" s="1"/>
  <c r="K27" i="38" s="1"/>
  <c r="J8" i="38"/>
  <c r="J18" i="38" s="1"/>
  <c r="I8" i="38"/>
  <c r="H8" i="38"/>
  <c r="H18" i="38" s="1"/>
  <c r="G8" i="38"/>
  <c r="G10" i="38" s="1"/>
  <c r="G13" i="38" s="1"/>
  <c r="G27" i="38" s="1"/>
  <c r="F8" i="38"/>
  <c r="F18" i="38" s="1"/>
  <c r="E8" i="38"/>
  <c r="D18" i="38"/>
  <c r="C8" i="38"/>
  <c r="B8" i="38"/>
  <c r="B10" i="38" s="1"/>
  <c r="B13" i="38" s="1"/>
  <c r="B27" i="38" s="1"/>
  <c r="P7" i="38"/>
  <c r="P6" i="38"/>
  <c r="B39" i="38" s="1"/>
  <c r="P10" i="38" l="1"/>
  <c r="Q13" i="38" s="1"/>
  <c r="Q8" i="38"/>
  <c r="L27" i="38"/>
  <c r="C27" i="38"/>
  <c r="Q23" i="38"/>
  <c r="P23" i="38"/>
  <c r="P13" i="38"/>
  <c r="B40" i="38"/>
  <c r="F34" i="38"/>
  <c r="P8" i="38"/>
  <c r="B41" i="38"/>
  <c r="D40" i="38"/>
  <c r="P17" i="38"/>
  <c r="C39" i="38"/>
  <c r="C41" i="38" s="1"/>
  <c r="D39" i="38" l="1"/>
  <c r="D41" i="38" s="1"/>
  <c r="P16" i="38"/>
  <c r="Q18" i="38" s="1"/>
  <c r="E18" i="38"/>
  <c r="P27" i="38" l="1"/>
  <c r="P18" i="38"/>
  <c r="C18" i="23" l="1"/>
  <c r="D18" i="23" s="1"/>
  <c r="C17" i="23"/>
  <c r="D17" i="23" s="1"/>
  <c r="E17" i="23" s="1"/>
  <c r="E18" i="23" l="1"/>
  <c r="F18" i="23"/>
  <c r="F17" i="23"/>
  <c r="B51" i="37" l="1"/>
  <c r="C50" i="37"/>
  <c r="J32" i="37"/>
  <c r="G31" i="37"/>
  <c r="J31" i="37" s="1"/>
  <c r="G30" i="37"/>
  <c r="J30" i="37" s="1"/>
  <c r="M30" i="37" s="1"/>
  <c r="J29" i="37"/>
  <c r="I28" i="37"/>
  <c r="H28" i="37"/>
  <c r="G28" i="37"/>
  <c r="F28" i="37"/>
  <c r="C28" i="37"/>
  <c r="I27" i="37"/>
  <c r="H27" i="37"/>
  <c r="G27" i="37"/>
  <c r="F27" i="37"/>
  <c r="E27" i="37"/>
  <c r="E34" i="37" s="1"/>
  <c r="C27" i="37"/>
  <c r="I26" i="37"/>
  <c r="H26" i="37"/>
  <c r="G26" i="37"/>
  <c r="F26" i="37"/>
  <c r="C26" i="37"/>
  <c r="I25" i="37"/>
  <c r="H25" i="37"/>
  <c r="G25" i="37"/>
  <c r="F25" i="37"/>
  <c r="D25" i="37"/>
  <c r="C25" i="37"/>
  <c r="I24" i="37"/>
  <c r="H24" i="37"/>
  <c r="G24" i="37"/>
  <c r="F24" i="37"/>
  <c r="C24" i="37"/>
  <c r="I23" i="37"/>
  <c r="H23" i="37"/>
  <c r="H33" i="37" s="1"/>
  <c r="G23" i="37"/>
  <c r="F23" i="37"/>
  <c r="C23" i="37"/>
  <c r="I22" i="37"/>
  <c r="H22" i="37"/>
  <c r="H34" i="37" s="1"/>
  <c r="G22" i="37"/>
  <c r="F22" i="37"/>
  <c r="D22" i="37"/>
  <c r="C22" i="37"/>
  <c r="F21" i="37"/>
  <c r="E21" i="37"/>
  <c r="D21" i="37"/>
  <c r="C21" i="37"/>
  <c r="B21" i="37"/>
  <c r="M20" i="37"/>
  <c r="L20" i="37"/>
  <c r="K12" i="37"/>
  <c r="B12" i="37"/>
  <c r="K11" i="37"/>
  <c r="B11" i="37"/>
  <c r="K10" i="37"/>
  <c r="B10" i="37"/>
  <c r="K9" i="37"/>
  <c r="B9" i="37"/>
  <c r="D24" i="37" s="1"/>
  <c r="K8" i="37"/>
  <c r="B8" i="37"/>
  <c r="D26" i="37" s="1"/>
  <c r="K7" i="37"/>
  <c r="F7" i="37"/>
  <c r="K6" i="37"/>
  <c r="B6" i="37"/>
  <c r="K5" i="37"/>
  <c r="B5" i="37"/>
  <c r="E6" i="37" s="1"/>
  <c r="M31" i="37" l="1"/>
  <c r="L31" i="37"/>
  <c r="K13" i="37"/>
  <c r="F34" i="37"/>
  <c r="C34" i="37"/>
  <c r="L30" i="37"/>
  <c r="I33" i="37"/>
  <c r="I34" i="37" s="1"/>
  <c r="G34" i="37"/>
  <c r="L11" i="37"/>
  <c r="L7" i="37"/>
  <c r="L6" i="37"/>
  <c r="L5" i="37"/>
  <c r="L10" i="37"/>
  <c r="L12" i="37"/>
  <c r="L8" i="37"/>
  <c r="L9" i="37"/>
  <c r="D34" i="37"/>
  <c r="B28" i="37"/>
  <c r="J28" i="37" s="1"/>
  <c r="E5" i="37"/>
  <c r="B14" i="37"/>
  <c r="J33" i="37" l="1"/>
  <c r="L28" i="37"/>
  <c r="M28" i="37"/>
  <c r="L13" i="37"/>
  <c r="C51" i="37"/>
  <c r="E7" i="37"/>
  <c r="M33" i="37" l="1"/>
  <c r="L33" i="37"/>
  <c r="C48" i="37"/>
  <c r="B26" i="37" s="1"/>
  <c r="J26" i="37" s="1"/>
  <c r="C44" i="37"/>
  <c r="B22" i="37" s="1"/>
  <c r="C47" i="37"/>
  <c r="B25" i="37" s="1"/>
  <c r="J25" i="37" s="1"/>
  <c r="C49" i="37"/>
  <c r="B27" i="37" s="1"/>
  <c r="J27" i="37" s="1"/>
  <c r="C46" i="37"/>
  <c r="B24" i="37" s="1"/>
  <c r="J24" i="37" s="1"/>
  <c r="C45" i="37"/>
  <c r="B23" i="37" s="1"/>
  <c r="J23" i="37" s="1"/>
  <c r="M25" i="37" l="1"/>
  <c r="L25" i="37"/>
  <c r="M23" i="37"/>
  <c r="L23" i="37"/>
  <c r="B34" i="37"/>
  <c r="J22" i="37"/>
  <c r="M27" i="37"/>
  <c r="L27" i="37"/>
  <c r="M24" i="37"/>
  <c r="L24" i="37"/>
  <c r="M26" i="37"/>
  <c r="L26" i="37"/>
  <c r="M22" i="37" l="1"/>
  <c r="M34" i="37" s="1"/>
  <c r="L22" i="37"/>
  <c r="J34" i="37"/>
  <c r="L34" i="37" s="1"/>
  <c r="F96" i="31" l="1"/>
  <c r="F95" i="31"/>
  <c r="F88" i="31"/>
  <c r="F87" i="31"/>
  <c r="F82" i="31"/>
  <c r="D96" i="31"/>
  <c r="D87" i="31"/>
  <c r="I96" i="8" l="1"/>
  <c r="C21" i="36" l="1"/>
  <c r="C24" i="36"/>
  <c r="C23" i="36"/>
  <c r="C22" i="36"/>
  <c r="C20" i="36"/>
  <c r="C19" i="36"/>
  <c r="C18" i="36"/>
  <c r="C17" i="36"/>
  <c r="C16" i="36"/>
  <c r="C15" i="36"/>
  <c r="C14" i="36"/>
  <c r="C13" i="36"/>
  <c r="C12" i="36"/>
  <c r="C9" i="36"/>
  <c r="C8" i="36"/>
  <c r="C7" i="36"/>
  <c r="G29" i="36"/>
  <c r="L23" i="35"/>
  <c r="C23" i="35" s="1"/>
  <c r="L19" i="35"/>
  <c r="C19" i="35" s="1"/>
  <c r="L16" i="35"/>
  <c r="C16" i="35" s="1"/>
  <c r="L12" i="35"/>
  <c r="C12" i="35" s="1"/>
  <c r="L13" i="35"/>
  <c r="C13" i="35" s="1"/>
  <c r="L14" i="35"/>
  <c r="C14" i="35" s="1"/>
  <c r="L7" i="35"/>
  <c r="L18" i="35"/>
  <c r="C18" i="35" s="1"/>
  <c r="L21" i="35"/>
  <c r="C21" i="35" s="1"/>
  <c r="L22" i="35"/>
  <c r="C22" i="35" s="1"/>
  <c r="L20" i="35"/>
  <c r="C20" i="35" s="1"/>
  <c r="L17" i="35"/>
  <c r="C17" i="35" s="1"/>
  <c r="L8" i="35"/>
  <c r="C8" i="35" s="1"/>
  <c r="L9" i="35"/>
  <c r="C9" i="35" s="1"/>
  <c r="L24" i="35"/>
  <c r="C24" i="35" s="1"/>
  <c r="L15" i="35"/>
  <c r="C15" i="35" s="1"/>
  <c r="L23" i="32"/>
  <c r="C23" i="32" s="1"/>
  <c r="L19" i="32"/>
  <c r="C19" i="32" s="1"/>
  <c r="L16" i="32"/>
  <c r="C16" i="32" s="1"/>
  <c r="L12" i="32"/>
  <c r="C12" i="32" s="1"/>
  <c r="L13" i="32"/>
  <c r="C13" i="32" s="1"/>
  <c r="L14" i="32"/>
  <c r="C14" i="32" s="1"/>
  <c r="L7" i="32"/>
  <c r="C7" i="32" s="1"/>
  <c r="L18" i="32"/>
  <c r="C18" i="32" s="1"/>
  <c r="L21" i="32"/>
  <c r="C21" i="32" s="1"/>
  <c r="L22" i="32"/>
  <c r="C22" i="32" s="1"/>
  <c r="L20" i="32"/>
  <c r="C20" i="32" s="1"/>
  <c r="L17" i="32"/>
  <c r="C17" i="32" s="1"/>
  <c r="L8" i="32"/>
  <c r="C8" i="32" s="1"/>
  <c r="L9" i="32"/>
  <c r="C9" i="32" s="1"/>
  <c r="L24" i="32"/>
  <c r="C24" i="32" s="1"/>
  <c r="L15" i="32"/>
  <c r="C15" i="32" s="1"/>
  <c r="C20" i="33"/>
  <c r="C24" i="33"/>
  <c r="C8" i="33"/>
  <c r="C17" i="33"/>
  <c r="C22" i="33"/>
  <c r="C21" i="33"/>
  <c r="C18" i="33"/>
  <c r="C14" i="33"/>
  <c r="C13" i="33"/>
  <c r="C12" i="33"/>
  <c r="C16" i="33"/>
  <c r="C23" i="33"/>
  <c r="C15" i="33"/>
  <c r="C7" i="35" l="1"/>
  <c r="L25" i="35"/>
  <c r="L25" i="32"/>
  <c r="C25" i="36"/>
  <c r="D22" i="36" s="1"/>
  <c r="C25" i="35"/>
  <c r="D24" i="35" s="1"/>
  <c r="C19" i="33"/>
  <c r="D9" i="36" l="1"/>
  <c r="D15" i="36"/>
  <c r="D18" i="36"/>
  <c r="D20" i="36"/>
  <c r="D11" i="36"/>
  <c r="D21" i="36"/>
  <c r="D12" i="36"/>
  <c r="D7" i="36"/>
  <c r="D17" i="36"/>
  <c r="D8" i="36"/>
  <c r="D10" i="36"/>
  <c r="D24" i="36"/>
  <c r="D23" i="36"/>
  <c r="D14" i="36"/>
  <c r="D13" i="36"/>
  <c r="D16" i="36"/>
  <c r="D19" i="36"/>
  <c r="D8" i="35"/>
  <c r="D10" i="35"/>
  <c r="D15" i="35"/>
  <c r="D13" i="35"/>
  <c r="D20" i="35"/>
  <c r="D11" i="35"/>
  <c r="D9" i="35"/>
  <c r="D12" i="35"/>
  <c r="D18" i="35"/>
  <c r="D23" i="35"/>
  <c r="D7" i="35"/>
  <c r="D21" i="35"/>
  <c r="D14" i="35"/>
  <c r="D16" i="35"/>
  <c r="D19" i="35"/>
  <c r="D22" i="35"/>
  <c r="D17" i="35"/>
  <c r="D25" i="36" l="1"/>
  <c r="D25" i="35"/>
  <c r="F19" i="13" l="1"/>
  <c r="F22" i="13" s="1"/>
  <c r="F10" i="13"/>
  <c r="E17" i="5"/>
  <c r="E24" i="5" s="1"/>
  <c r="D53" i="34" l="1"/>
  <c r="B53" i="34"/>
  <c r="C52" i="34"/>
  <c r="D45" i="34"/>
  <c r="C45" i="34"/>
  <c r="K36" i="34"/>
  <c r="J34" i="34"/>
  <c r="G33" i="34"/>
  <c r="J33" i="34" s="1"/>
  <c r="G32" i="34"/>
  <c r="J32" i="34" s="1"/>
  <c r="F31" i="34"/>
  <c r="J31" i="34" s="1"/>
  <c r="I30" i="34"/>
  <c r="H30" i="34"/>
  <c r="G30" i="34"/>
  <c r="F30" i="34"/>
  <c r="C30" i="34"/>
  <c r="I29" i="34"/>
  <c r="H29" i="34"/>
  <c r="G29" i="34"/>
  <c r="F29" i="34"/>
  <c r="E29" i="34"/>
  <c r="E36" i="34" s="1"/>
  <c r="C29" i="34"/>
  <c r="I28" i="34"/>
  <c r="H28" i="34"/>
  <c r="G28" i="34"/>
  <c r="F28" i="34"/>
  <c r="D28" i="34"/>
  <c r="C28" i="34"/>
  <c r="I27" i="34"/>
  <c r="H27" i="34"/>
  <c r="G27" i="34"/>
  <c r="F27" i="34"/>
  <c r="D27" i="34"/>
  <c r="C27" i="34"/>
  <c r="I26" i="34"/>
  <c r="H26" i="34"/>
  <c r="G26" i="34"/>
  <c r="F26" i="34"/>
  <c r="D26" i="34"/>
  <c r="C26" i="34"/>
  <c r="I25" i="34"/>
  <c r="H25" i="34"/>
  <c r="G25" i="34"/>
  <c r="F25" i="34"/>
  <c r="C25" i="34"/>
  <c r="I24" i="34"/>
  <c r="H24" i="34"/>
  <c r="H35" i="34" s="1"/>
  <c r="G24" i="34"/>
  <c r="F24" i="34"/>
  <c r="D24" i="34"/>
  <c r="D36" i="34" s="1"/>
  <c r="C24" i="34"/>
  <c r="J23" i="34"/>
  <c r="F23" i="34"/>
  <c r="E23" i="34"/>
  <c r="D23" i="34"/>
  <c r="C23" i="34"/>
  <c r="B23" i="34"/>
  <c r="M22" i="34"/>
  <c r="L22" i="34"/>
  <c r="K13" i="34"/>
  <c r="B11" i="34"/>
  <c r="B8" i="34"/>
  <c r="F7" i="34"/>
  <c r="B6" i="34"/>
  <c r="B5" i="34"/>
  <c r="B30" i="34" s="1"/>
  <c r="C36" i="34" l="1"/>
  <c r="L33" i="34"/>
  <c r="M33" i="34"/>
  <c r="L32" i="34"/>
  <c r="M32" i="34"/>
  <c r="J30" i="34"/>
  <c r="M30" i="34" s="1"/>
  <c r="G36" i="34"/>
  <c r="F36" i="34"/>
  <c r="I35" i="34"/>
  <c r="J35" i="34" s="1"/>
  <c r="E5" i="34"/>
  <c r="H36" i="34"/>
  <c r="E6" i="34"/>
  <c r="B14" i="34"/>
  <c r="I24" i="5"/>
  <c r="H24" i="5"/>
  <c r="G24" i="5"/>
  <c r="F24" i="5"/>
  <c r="L30" i="34" l="1"/>
  <c r="I36" i="34"/>
  <c r="E7" i="34"/>
  <c r="C53" i="34"/>
  <c r="M35" i="34"/>
  <c r="L35" i="34"/>
  <c r="L11" i="34"/>
  <c r="L8" i="34"/>
  <c r="L5" i="34"/>
  <c r="L10" i="34"/>
  <c r="L7" i="34"/>
  <c r="L6" i="34"/>
  <c r="L12" i="34"/>
  <c r="L9" i="34"/>
  <c r="L13" i="34" l="1"/>
  <c r="C51" i="34"/>
  <c r="B29" i="34" s="1"/>
  <c r="J29" i="34" s="1"/>
  <c r="C47" i="34"/>
  <c r="B25" i="34" s="1"/>
  <c r="J25" i="34" s="1"/>
  <c r="C50" i="34"/>
  <c r="B28" i="34" s="1"/>
  <c r="J28" i="34" s="1"/>
  <c r="C46" i="34"/>
  <c r="B24" i="34" s="1"/>
  <c r="C49" i="34"/>
  <c r="B27" i="34" s="1"/>
  <c r="J27" i="34" s="1"/>
  <c r="C48" i="34"/>
  <c r="B26" i="34" s="1"/>
  <c r="J26" i="34" s="1"/>
  <c r="M29" i="34" l="1"/>
  <c r="L29" i="34"/>
  <c r="L28" i="34"/>
  <c r="M28" i="34"/>
  <c r="L26" i="34"/>
  <c r="M26" i="34"/>
  <c r="M25" i="34"/>
  <c r="L25" i="34"/>
  <c r="M27" i="34"/>
  <c r="L27" i="34"/>
  <c r="J24" i="34"/>
  <c r="B36" i="34"/>
  <c r="C37" i="34" s="1"/>
  <c r="D37" i="34" s="1"/>
  <c r="E37" i="34" s="1"/>
  <c r="F37" i="34" s="1"/>
  <c r="R41" i="26"/>
  <c r="C25" i="33"/>
  <c r="D24" i="33" s="1"/>
  <c r="C25" i="32"/>
  <c r="D10" i="32" s="1"/>
  <c r="E100" i="31"/>
  <c r="J46" i="31"/>
  <c r="F50" i="31"/>
  <c r="C50" i="31"/>
  <c r="I75" i="8"/>
  <c r="E8" i="31"/>
  <c r="E9" i="31"/>
  <c r="E10" i="31"/>
  <c r="E11" i="31"/>
  <c r="E12" i="31"/>
  <c r="E13" i="31"/>
  <c r="E14" i="31"/>
  <c r="E15" i="31"/>
  <c r="E16" i="31"/>
  <c r="E17" i="31"/>
  <c r="E18" i="31"/>
  <c r="E19" i="31"/>
  <c r="E20" i="31"/>
  <c r="E21" i="31"/>
  <c r="E22" i="31"/>
  <c r="E23" i="31"/>
  <c r="E24" i="31"/>
  <c r="E7" i="31"/>
  <c r="E50" i="31"/>
  <c r="E75" i="31"/>
  <c r="J68" i="31"/>
  <c r="C75" i="31"/>
  <c r="J96" i="31"/>
  <c r="J85" i="31"/>
  <c r="D100" i="31"/>
  <c r="J92" i="31"/>
  <c r="J84" i="31"/>
  <c r="J86" i="31"/>
  <c r="I100" i="31"/>
  <c r="H100" i="31"/>
  <c r="G100" i="31"/>
  <c r="J99" i="31"/>
  <c r="J98" i="31"/>
  <c r="J97" i="31"/>
  <c r="J95" i="31"/>
  <c r="J94" i="31"/>
  <c r="J91" i="31"/>
  <c r="J90" i="31"/>
  <c r="J89" i="31"/>
  <c r="J88" i="31"/>
  <c r="J87" i="31"/>
  <c r="J83" i="31"/>
  <c r="J82" i="31"/>
  <c r="I75" i="31"/>
  <c r="H75" i="31"/>
  <c r="G75" i="31"/>
  <c r="D75" i="31"/>
  <c r="J74" i="31"/>
  <c r="J73" i="31"/>
  <c r="J72" i="31"/>
  <c r="J71" i="31"/>
  <c r="J70" i="31"/>
  <c r="J69" i="31"/>
  <c r="J67" i="31"/>
  <c r="J66" i="31"/>
  <c r="J65" i="31"/>
  <c r="J64" i="31"/>
  <c r="J63" i="31"/>
  <c r="J62" i="31"/>
  <c r="J61" i="31"/>
  <c r="J60" i="31"/>
  <c r="J59" i="31"/>
  <c r="J58" i="31"/>
  <c r="J57" i="31"/>
  <c r="I50" i="31"/>
  <c r="H50" i="31"/>
  <c r="G50" i="31"/>
  <c r="D50" i="31"/>
  <c r="J49" i="31"/>
  <c r="J48" i="31"/>
  <c r="J47" i="31"/>
  <c r="J45" i="31"/>
  <c r="J44" i="31"/>
  <c r="J43" i="31"/>
  <c r="J42" i="31"/>
  <c r="J41" i="31"/>
  <c r="J40" i="31"/>
  <c r="J39" i="31"/>
  <c r="J38" i="31"/>
  <c r="J37" i="31"/>
  <c r="J36" i="31"/>
  <c r="J35" i="31"/>
  <c r="J33" i="31"/>
  <c r="J32" i="31"/>
  <c r="I24" i="31"/>
  <c r="H24" i="31"/>
  <c r="G24" i="31"/>
  <c r="F24" i="31"/>
  <c r="D24" i="31"/>
  <c r="C24" i="31"/>
  <c r="I23" i="31"/>
  <c r="H23" i="31"/>
  <c r="G23" i="31"/>
  <c r="F23" i="31"/>
  <c r="D23" i="31"/>
  <c r="C23" i="31"/>
  <c r="I22" i="31"/>
  <c r="H22" i="31"/>
  <c r="G22" i="31"/>
  <c r="F22" i="31"/>
  <c r="D22" i="31"/>
  <c r="C22" i="31"/>
  <c r="I21" i="31"/>
  <c r="H21" i="31"/>
  <c r="G21" i="31"/>
  <c r="C21" i="31"/>
  <c r="I20" i="31"/>
  <c r="H20" i="31"/>
  <c r="G20" i="31"/>
  <c r="F20" i="31"/>
  <c r="D20" i="31"/>
  <c r="C20" i="31"/>
  <c r="I19" i="31"/>
  <c r="H19" i="31"/>
  <c r="G19" i="31"/>
  <c r="F19" i="31"/>
  <c r="D19" i="31"/>
  <c r="C19" i="31"/>
  <c r="I18" i="31"/>
  <c r="H18" i="31"/>
  <c r="G18" i="31"/>
  <c r="D18" i="31"/>
  <c r="C18" i="31"/>
  <c r="I17" i="31"/>
  <c r="H17" i="31"/>
  <c r="G17" i="31"/>
  <c r="F17" i="31"/>
  <c r="D17" i="31"/>
  <c r="C17" i="31"/>
  <c r="I16" i="31"/>
  <c r="H16" i="31"/>
  <c r="G16" i="31"/>
  <c r="F16" i="31"/>
  <c r="D16" i="31"/>
  <c r="C16" i="31"/>
  <c r="I15" i="31"/>
  <c r="H15" i="31"/>
  <c r="G15" i="31"/>
  <c r="F15" i="31"/>
  <c r="D15" i="31"/>
  <c r="C15" i="31"/>
  <c r="I14" i="31"/>
  <c r="H14" i="31"/>
  <c r="G14" i="31"/>
  <c r="F14" i="31"/>
  <c r="D14" i="31"/>
  <c r="C14" i="31"/>
  <c r="I13" i="31"/>
  <c r="H13" i="31"/>
  <c r="G13" i="31"/>
  <c r="F13" i="31"/>
  <c r="D13" i="31"/>
  <c r="C13" i="31"/>
  <c r="I12" i="31"/>
  <c r="H12" i="31"/>
  <c r="G12" i="31"/>
  <c r="F12" i="31"/>
  <c r="D12" i="31"/>
  <c r="C12" i="31"/>
  <c r="I11" i="31"/>
  <c r="H11" i="31"/>
  <c r="G11" i="31"/>
  <c r="F11" i="31"/>
  <c r="D11" i="31"/>
  <c r="I10" i="31"/>
  <c r="H10" i="31"/>
  <c r="G10" i="31"/>
  <c r="D10" i="31"/>
  <c r="C10" i="31"/>
  <c r="I9" i="31"/>
  <c r="H9" i="31"/>
  <c r="G9" i="31"/>
  <c r="F9" i="31"/>
  <c r="D9" i="31"/>
  <c r="I8" i="31"/>
  <c r="H8" i="31"/>
  <c r="G8" i="31"/>
  <c r="F8" i="31"/>
  <c r="D8" i="31"/>
  <c r="C8" i="31"/>
  <c r="I7" i="31"/>
  <c r="H7" i="31"/>
  <c r="G7" i="31"/>
  <c r="F7" i="31"/>
  <c r="D7" i="31"/>
  <c r="C7" i="31"/>
  <c r="I8" i="8"/>
  <c r="I9" i="8"/>
  <c r="I10" i="8"/>
  <c r="I11" i="8"/>
  <c r="I12" i="8"/>
  <c r="I13" i="8"/>
  <c r="I14" i="8"/>
  <c r="I15" i="8"/>
  <c r="I16" i="8"/>
  <c r="I17" i="8"/>
  <c r="I18" i="8"/>
  <c r="I19" i="8"/>
  <c r="I20" i="8"/>
  <c r="I21" i="8"/>
  <c r="I22" i="8"/>
  <c r="I23" i="8"/>
  <c r="I24" i="8"/>
  <c r="I7" i="8"/>
  <c r="G8" i="8"/>
  <c r="G9" i="8"/>
  <c r="G10" i="8"/>
  <c r="G11" i="8"/>
  <c r="G12" i="8"/>
  <c r="G13" i="8"/>
  <c r="G14" i="8"/>
  <c r="G15" i="8"/>
  <c r="G16" i="8"/>
  <c r="G17" i="8"/>
  <c r="G18" i="8"/>
  <c r="G19" i="8"/>
  <c r="G20" i="8"/>
  <c r="G21" i="8"/>
  <c r="G22" i="8"/>
  <c r="G23" i="8"/>
  <c r="G24" i="8"/>
  <c r="G7" i="8"/>
  <c r="F8" i="8"/>
  <c r="F9" i="8"/>
  <c r="F10" i="8"/>
  <c r="F11" i="8"/>
  <c r="F12" i="8"/>
  <c r="F13" i="8"/>
  <c r="F14" i="8"/>
  <c r="F15" i="8"/>
  <c r="F16" i="8"/>
  <c r="F17" i="8"/>
  <c r="F18" i="8"/>
  <c r="F19" i="8"/>
  <c r="F20" i="8"/>
  <c r="F21" i="8"/>
  <c r="F22" i="8"/>
  <c r="F23" i="8"/>
  <c r="F24" i="8"/>
  <c r="F7" i="8"/>
  <c r="E8" i="8"/>
  <c r="E9" i="8"/>
  <c r="E10" i="8"/>
  <c r="E11" i="8"/>
  <c r="E12" i="8"/>
  <c r="E13" i="8"/>
  <c r="E14" i="8"/>
  <c r="E15" i="8"/>
  <c r="E16" i="8"/>
  <c r="E17" i="8"/>
  <c r="E18" i="8"/>
  <c r="E19" i="8"/>
  <c r="E20" i="8"/>
  <c r="E21" i="8"/>
  <c r="E22" i="8"/>
  <c r="E23" i="8"/>
  <c r="E24" i="8"/>
  <c r="E7" i="8"/>
  <c r="D8" i="8"/>
  <c r="D9" i="8"/>
  <c r="D10" i="8"/>
  <c r="D11" i="8"/>
  <c r="D12" i="8"/>
  <c r="J12" i="8" s="1"/>
  <c r="D13" i="8"/>
  <c r="D14" i="8"/>
  <c r="D15" i="8"/>
  <c r="D16" i="8"/>
  <c r="D17" i="8"/>
  <c r="D18" i="8"/>
  <c r="D19" i="8"/>
  <c r="D20" i="8"/>
  <c r="D21" i="8"/>
  <c r="D22" i="8"/>
  <c r="D23" i="8"/>
  <c r="D24" i="8"/>
  <c r="J24" i="8" s="1"/>
  <c r="D7" i="8"/>
  <c r="C8" i="8"/>
  <c r="C9" i="8"/>
  <c r="C10" i="8"/>
  <c r="C11" i="8"/>
  <c r="C12" i="8"/>
  <c r="C13" i="8"/>
  <c r="C14" i="8"/>
  <c r="C15" i="8"/>
  <c r="C16" i="8"/>
  <c r="C17" i="8"/>
  <c r="C18" i="8"/>
  <c r="C19" i="8"/>
  <c r="C20" i="8"/>
  <c r="C21" i="8"/>
  <c r="C22" i="8"/>
  <c r="C23" i="8"/>
  <c r="C24" i="8"/>
  <c r="C7" i="8"/>
  <c r="I100" i="8"/>
  <c r="G100" i="8"/>
  <c r="F100" i="8"/>
  <c r="E100" i="8"/>
  <c r="D100" i="8"/>
  <c r="C100" i="8"/>
  <c r="J99" i="8"/>
  <c r="J98" i="8"/>
  <c r="J97" i="8"/>
  <c r="J96" i="8"/>
  <c r="J95" i="8"/>
  <c r="J94" i="8"/>
  <c r="J93" i="8"/>
  <c r="J92" i="8"/>
  <c r="J91" i="8"/>
  <c r="J90" i="8"/>
  <c r="J89" i="8"/>
  <c r="J88" i="8"/>
  <c r="J87" i="8"/>
  <c r="J86" i="8"/>
  <c r="J85" i="8"/>
  <c r="J84" i="8"/>
  <c r="J83" i="8"/>
  <c r="J82" i="8"/>
  <c r="G75" i="8"/>
  <c r="F75" i="8"/>
  <c r="E75" i="8"/>
  <c r="D75" i="8"/>
  <c r="C75" i="8"/>
  <c r="J74" i="8"/>
  <c r="J73" i="8"/>
  <c r="J72" i="8"/>
  <c r="J71" i="8"/>
  <c r="J70" i="8"/>
  <c r="J69" i="8"/>
  <c r="J68" i="8"/>
  <c r="J67" i="8"/>
  <c r="J66" i="8"/>
  <c r="J65" i="8"/>
  <c r="J64" i="8"/>
  <c r="J63" i="8"/>
  <c r="J62" i="8"/>
  <c r="J61" i="8"/>
  <c r="J60" i="8"/>
  <c r="J59" i="8"/>
  <c r="J58" i="8"/>
  <c r="J57" i="8"/>
  <c r="J20" i="8"/>
  <c r="D50" i="8"/>
  <c r="E50" i="8"/>
  <c r="F50" i="8"/>
  <c r="G50" i="8"/>
  <c r="I50" i="8"/>
  <c r="C50" i="8"/>
  <c r="J34" i="8"/>
  <c r="J35" i="8"/>
  <c r="J36" i="8"/>
  <c r="J37" i="8"/>
  <c r="J38" i="8"/>
  <c r="J39" i="8"/>
  <c r="J40" i="8"/>
  <c r="J41" i="8"/>
  <c r="J42" i="8"/>
  <c r="J43" i="8"/>
  <c r="J44" i="8"/>
  <c r="J45" i="8"/>
  <c r="J46" i="8"/>
  <c r="J47" i="8"/>
  <c r="J48" i="8"/>
  <c r="J49" i="8"/>
  <c r="J33" i="8"/>
  <c r="J32" i="8"/>
  <c r="E29" i="28"/>
  <c r="E30" i="28"/>
  <c r="E31" i="28"/>
  <c r="E32" i="28"/>
  <c r="E33" i="28"/>
  <c r="E34" i="28"/>
  <c r="E35" i="28"/>
  <c r="E36" i="28"/>
  <c r="E37" i="28"/>
  <c r="E38" i="28"/>
  <c r="E39" i="28"/>
  <c r="E40" i="28"/>
  <c r="E41" i="28"/>
  <c r="E42" i="28"/>
  <c r="E43" i="28"/>
  <c r="E44" i="28"/>
  <c r="E45" i="28"/>
  <c r="E46" i="28"/>
  <c r="E47" i="28"/>
  <c r="E48" i="28"/>
  <c r="E49" i="28"/>
  <c r="E50" i="28"/>
  <c r="E51" i="28"/>
  <c r="E52" i="28"/>
  <c r="E53" i="28"/>
  <c r="E28" i="28"/>
  <c r="U22" i="27"/>
  <c r="U21" i="27"/>
  <c r="U20" i="27"/>
  <c r="U18" i="27"/>
  <c r="U17" i="27"/>
  <c r="U16" i="27"/>
  <c r="U14" i="27"/>
  <c r="U13" i="27"/>
  <c r="U12" i="27"/>
  <c r="U11" i="27"/>
  <c r="U10" i="27"/>
  <c r="U9" i="27"/>
  <c r="U8" i="27"/>
  <c r="C25" i="28" l="1"/>
  <c r="C16" i="28"/>
  <c r="J51" i="8"/>
  <c r="J19" i="8"/>
  <c r="J15" i="8"/>
  <c r="J11" i="8"/>
  <c r="C7" i="28"/>
  <c r="C19" i="28"/>
  <c r="C9" i="28"/>
  <c r="C10" i="28"/>
  <c r="C8" i="28"/>
  <c r="C6" i="28"/>
  <c r="C21" i="28"/>
  <c r="C20" i="28"/>
  <c r="C17" i="28"/>
  <c r="C13" i="28"/>
  <c r="C12" i="28"/>
  <c r="C15" i="28"/>
  <c r="C11" i="28"/>
  <c r="J20" i="31"/>
  <c r="E25" i="31"/>
  <c r="J101" i="8"/>
  <c r="J16" i="8"/>
  <c r="J8" i="8"/>
  <c r="L24" i="34"/>
  <c r="M24" i="34"/>
  <c r="M36" i="34" s="1"/>
  <c r="J36" i="34"/>
  <c r="L36" i="34" s="1"/>
  <c r="J51" i="31"/>
  <c r="J76" i="8"/>
  <c r="F18" i="31"/>
  <c r="J18" i="31" s="1"/>
  <c r="D20" i="32"/>
  <c r="J23" i="8"/>
  <c r="C9" i="31"/>
  <c r="J9" i="31" s="1"/>
  <c r="F10" i="31"/>
  <c r="J10" i="31" s="1"/>
  <c r="F21" i="31"/>
  <c r="F25" i="31" s="1"/>
  <c r="J34" i="31"/>
  <c r="J50" i="31" s="1"/>
  <c r="J93" i="31"/>
  <c r="J100" i="31" s="1"/>
  <c r="F75" i="31"/>
  <c r="J76" i="31" s="1"/>
  <c r="D12" i="32"/>
  <c r="F25" i="8"/>
  <c r="H25" i="31"/>
  <c r="D21" i="31"/>
  <c r="D11" i="32"/>
  <c r="D24" i="32"/>
  <c r="D16" i="32"/>
  <c r="D8" i="32"/>
  <c r="D19" i="32"/>
  <c r="D23" i="32"/>
  <c r="D15" i="32"/>
  <c r="D7" i="32"/>
  <c r="D21" i="32"/>
  <c r="D17" i="32"/>
  <c r="D13" i="32"/>
  <c r="D9" i="32"/>
  <c r="D22" i="32"/>
  <c r="D18" i="32"/>
  <c r="D14" i="32"/>
  <c r="D7" i="33"/>
  <c r="D17" i="33"/>
  <c r="D21" i="33"/>
  <c r="D9" i="33"/>
  <c r="D15" i="33"/>
  <c r="D13" i="33"/>
  <c r="D23" i="33"/>
  <c r="D11" i="33"/>
  <c r="D19" i="33"/>
  <c r="D10" i="33"/>
  <c r="D14" i="33"/>
  <c r="D18" i="33"/>
  <c r="D22" i="33"/>
  <c r="D8" i="33"/>
  <c r="D12" i="33"/>
  <c r="D16" i="33"/>
  <c r="D20" i="33"/>
  <c r="E25" i="8"/>
  <c r="J16" i="31"/>
  <c r="I25" i="31"/>
  <c r="J19" i="31"/>
  <c r="J23" i="31"/>
  <c r="G25" i="31"/>
  <c r="J14" i="31"/>
  <c r="J22" i="31"/>
  <c r="C25" i="8"/>
  <c r="J13" i="31"/>
  <c r="J75" i="31"/>
  <c r="J8" i="31"/>
  <c r="J24" i="31"/>
  <c r="F100" i="31"/>
  <c r="J7" i="31"/>
  <c r="J17" i="31"/>
  <c r="J15" i="31"/>
  <c r="J12" i="31"/>
  <c r="C100" i="31"/>
  <c r="C11" i="31"/>
  <c r="J11" i="31" s="1"/>
  <c r="I25" i="8"/>
  <c r="D25" i="8"/>
  <c r="G25" i="8"/>
  <c r="J18" i="8"/>
  <c r="J7" i="8"/>
  <c r="J22" i="8"/>
  <c r="J10" i="8"/>
  <c r="J14" i="8"/>
  <c r="J21" i="8"/>
  <c r="J17" i="8"/>
  <c r="J13" i="8"/>
  <c r="J9" i="8"/>
  <c r="J50" i="8"/>
  <c r="J75" i="8"/>
  <c r="J100" i="8"/>
  <c r="C24" i="29"/>
  <c r="D10" i="29" s="1"/>
  <c r="G24" i="29"/>
  <c r="E24" i="29"/>
  <c r="F6" i="29" s="1"/>
  <c r="U25" i="27"/>
  <c r="U17" i="30"/>
  <c r="Y21" i="30"/>
  <c r="Y20" i="30"/>
  <c r="Y19" i="30"/>
  <c r="Y17" i="30"/>
  <c r="Y16" i="30"/>
  <c r="Y15" i="30"/>
  <c r="Y13" i="30"/>
  <c r="Y12" i="30"/>
  <c r="Y11" i="30"/>
  <c r="Y9" i="30"/>
  <c r="Y8" i="30"/>
  <c r="Y7" i="30"/>
  <c r="W21" i="30"/>
  <c r="W20" i="30"/>
  <c r="W19" i="30"/>
  <c r="W17" i="30"/>
  <c r="W16" i="30"/>
  <c r="W15" i="30"/>
  <c r="W13" i="30"/>
  <c r="W12" i="30"/>
  <c r="W11" i="30"/>
  <c r="W10" i="30"/>
  <c r="W9" i="30"/>
  <c r="W8" i="30"/>
  <c r="W7" i="30"/>
  <c r="W6" i="30"/>
  <c r="U20" i="30"/>
  <c r="U16" i="30"/>
  <c r="U15" i="30"/>
  <c r="U13" i="30"/>
  <c r="U12" i="30"/>
  <c r="U11" i="30"/>
  <c r="U10" i="30"/>
  <c r="U9" i="30"/>
  <c r="U8" i="30"/>
  <c r="U7" i="30"/>
  <c r="J21" i="31" l="1"/>
  <c r="J26" i="31"/>
  <c r="V24" i="27"/>
  <c r="V7" i="27"/>
  <c r="V11" i="27"/>
  <c r="V19" i="27"/>
  <c r="V17" i="27"/>
  <c r="V25" i="27"/>
  <c r="V22" i="27"/>
  <c r="V15" i="27"/>
  <c r="V23" i="27"/>
  <c r="V10" i="27"/>
  <c r="V18" i="27"/>
  <c r="J26" i="8"/>
  <c r="J101" i="31"/>
  <c r="V20" i="27"/>
  <c r="V13" i="27"/>
  <c r="V12" i="27"/>
  <c r="V16" i="27"/>
  <c r="D25" i="31"/>
  <c r="V8" i="27"/>
  <c r="V21" i="27"/>
  <c r="V14" i="27"/>
  <c r="V9" i="27"/>
  <c r="D25" i="32"/>
  <c r="C24" i="28"/>
  <c r="D17" i="28" s="1"/>
  <c r="D25" i="33"/>
  <c r="C25" i="31"/>
  <c r="J25" i="31"/>
  <c r="K11" i="31" s="1"/>
  <c r="J25" i="8"/>
  <c r="H9" i="29"/>
  <c r="H21" i="29"/>
  <c r="H7" i="29"/>
  <c r="H19" i="29"/>
  <c r="H16" i="29"/>
  <c r="H6" i="29"/>
  <c r="H14" i="29"/>
  <c r="H18" i="29"/>
  <c r="H22" i="29"/>
  <c r="H15" i="29"/>
  <c r="H23" i="29"/>
  <c r="H8" i="29"/>
  <c r="H12" i="29"/>
  <c r="H17" i="29"/>
  <c r="H10" i="29"/>
  <c r="H20" i="29"/>
  <c r="H13" i="29"/>
  <c r="H11" i="29"/>
  <c r="F15" i="29"/>
  <c r="F13" i="29"/>
  <c r="F10" i="29"/>
  <c r="F7" i="29"/>
  <c r="F23" i="29"/>
  <c r="F12" i="29"/>
  <c r="F16" i="29"/>
  <c r="F14" i="29"/>
  <c r="F18" i="29"/>
  <c r="F22" i="29"/>
  <c r="F8" i="29"/>
  <c r="F17" i="29"/>
  <c r="F21" i="29"/>
  <c r="F20" i="29"/>
  <c r="F19" i="29"/>
  <c r="F9" i="29"/>
  <c r="F11" i="29"/>
  <c r="D17" i="29"/>
  <c r="D12" i="29"/>
  <c r="D7" i="29"/>
  <c r="D15" i="29"/>
  <c r="D8" i="29"/>
  <c r="D23" i="29"/>
  <c r="D20" i="29"/>
  <c r="D9" i="29"/>
  <c r="D21" i="29"/>
  <c r="D14" i="29"/>
  <c r="D18" i="29"/>
  <c r="D22" i="29"/>
  <c r="D16" i="29"/>
  <c r="D6" i="29"/>
  <c r="D13" i="29"/>
  <c r="D11" i="29"/>
  <c r="D19" i="29"/>
  <c r="W24" i="30"/>
  <c r="X10" i="30" s="1"/>
  <c r="Y10" i="30"/>
  <c r="Y6" i="30"/>
  <c r="P29" i="30"/>
  <c r="N30" i="30" s="1"/>
  <c r="U21" i="30"/>
  <c r="U19" i="30"/>
  <c r="P15" i="30"/>
  <c r="P10" i="30"/>
  <c r="P5" i="30"/>
  <c r="U24" i="30" l="1"/>
  <c r="V22" i="30" s="1"/>
  <c r="Y24" i="30"/>
  <c r="Z19" i="30" s="1"/>
  <c r="K30" i="30"/>
  <c r="V10" i="30"/>
  <c r="V20" i="30"/>
  <c r="V16" i="30"/>
  <c r="V15" i="30"/>
  <c r="V18" i="30"/>
  <c r="V23" i="30"/>
  <c r="V7" i="30"/>
  <c r="V13" i="30"/>
  <c r="V9" i="30"/>
  <c r="V12" i="30"/>
  <c r="V11" i="30"/>
  <c r="V14" i="30"/>
  <c r="V8" i="30"/>
  <c r="V21" i="30"/>
  <c r="L6" i="30"/>
  <c r="L11" i="30"/>
  <c r="W25" i="30"/>
  <c r="P34" i="30"/>
  <c r="L35" i="30" s="1"/>
  <c r="L16" i="30"/>
  <c r="V19" i="30"/>
  <c r="D12" i="28"/>
  <c r="D9" i="28"/>
  <c r="D11" i="28"/>
  <c r="D21" i="28"/>
  <c r="D20" i="28"/>
  <c r="D19" i="28"/>
  <c r="D7" i="28"/>
  <c r="D8" i="28"/>
  <c r="D23" i="28"/>
  <c r="D18" i="28"/>
  <c r="D15" i="28"/>
  <c r="D22" i="28"/>
  <c r="D14" i="28"/>
  <c r="D16" i="28"/>
  <c r="D13" i="28"/>
  <c r="D6" i="28"/>
  <c r="D10" i="28"/>
  <c r="K10" i="31"/>
  <c r="K17" i="31"/>
  <c r="K24" i="31"/>
  <c r="K8" i="31"/>
  <c r="K19" i="31"/>
  <c r="K15" i="31"/>
  <c r="K16" i="31"/>
  <c r="K14" i="31"/>
  <c r="K12" i="31"/>
  <c r="K22" i="31"/>
  <c r="K13" i="31"/>
  <c r="K7" i="31"/>
  <c r="K9" i="31"/>
  <c r="K20" i="31"/>
  <c r="K23" i="31"/>
  <c r="K18" i="31"/>
  <c r="K21" i="31"/>
  <c r="K19" i="8"/>
  <c r="K15" i="8"/>
  <c r="K11" i="8"/>
  <c r="K7" i="8"/>
  <c r="K22" i="8"/>
  <c r="K18" i="8"/>
  <c r="K14" i="8"/>
  <c r="K10" i="8"/>
  <c r="K21" i="8"/>
  <c r="K17" i="8"/>
  <c r="K13" i="8"/>
  <c r="K9" i="8"/>
  <c r="K24" i="8"/>
  <c r="K20" i="8"/>
  <c r="K16" i="8"/>
  <c r="K12" i="8"/>
  <c r="K8" i="8"/>
  <c r="K23" i="8"/>
  <c r="H24" i="29"/>
  <c r="F24" i="29"/>
  <c r="D24" i="29"/>
  <c r="X18" i="30"/>
  <c r="X16" i="30"/>
  <c r="X17" i="30"/>
  <c r="X9" i="30"/>
  <c r="X22" i="30"/>
  <c r="X20" i="30"/>
  <c r="X21" i="30"/>
  <c r="X23" i="30"/>
  <c r="X8" i="30"/>
  <c r="X6" i="30"/>
  <c r="X11" i="30"/>
  <c r="X15" i="30"/>
  <c r="X14" i="30"/>
  <c r="X12" i="30"/>
  <c r="X13" i="30"/>
  <c r="X19" i="30"/>
  <c r="X7" i="30"/>
  <c r="C30" i="30"/>
  <c r="O30" i="30"/>
  <c r="G30" i="30"/>
  <c r="E6" i="30"/>
  <c r="I6" i="30"/>
  <c r="M6" i="30"/>
  <c r="I11" i="30"/>
  <c r="E16" i="30"/>
  <c r="I16" i="30"/>
  <c r="M16" i="30"/>
  <c r="B6" i="30"/>
  <c r="F6" i="30"/>
  <c r="J6" i="30"/>
  <c r="N6" i="30"/>
  <c r="B11" i="30"/>
  <c r="F11" i="30"/>
  <c r="J11" i="30"/>
  <c r="N11" i="30"/>
  <c r="B16" i="30"/>
  <c r="F16" i="30"/>
  <c r="J16" i="30"/>
  <c r="N16" i="30"/>
  <c r="D30" i="30"/>
  <c r="H30" i="30"/>
  <c r="L30" i="30"/>
  <c r="E11" i="30"/>
  <c r="M11" i="30"/>
  <c r="C6" i="30"/>
  <c r="G6" i="30"/>
  <c r="K6" i="30"/>
  <c r="O6" i="30"/>
  <c r="C11" i="30"/>
  <c r="G11" i="30"/>
  <c r="K11" i="30"/>
  <c r="O11" i="30"/>
  <c r="C16" i="30"/>
  <c r="G16" i="30"/>
  <c r="K16" i="30"/>
  <c r="O16" i="30"/>
  <c r="P24" i="30"/>
  <c r="M25" i="30" s="1"/>
  <c r="E30" i="30"/>
  <c r="I30" i="30"/>
  <c r="M30" i="30"/>
  <c r="D6" i="30"/>
  <c r="H6" i="30"/>
  <c r="D11" i="30"/>
  <c r="H11" i="30"/>
  <c r="D16" i="30"/>
  <c r="H16" i="30"/>
  <c r="B30" i="30"/>
  <c r="F30" i="30"/>
  <c r="J30" i="30"/>
  <c r="P18" i="27"/>
  <c r="B19" i="27" s="1"/>
  <c r="Z14" i="30" l="1"/>
  <c r="Z18" i="30"/>
  <c r="Z9" i="30"/>
  <c r="V17" i="30"/>
  <c r="V24" i="30" s="1"/>
  <c r="V6" i="30"/>
  <c r="Z16" i="30"/>
  <c r="Z22" i="30"/>
  <c r="Z12" i="30"/>
  <c r="Z10" i="30"/>
  <c r="Z8" i="30"/>
  <c r="Z23" i="30"/>
  <c r="Z15" i="30"/>
  <c r="Z20" i="30"/>
  <c r="Z13" i="30"/>
  <c r="Z17" i="30"/>
  <c r="Z6" i="30"/>
  <c r="Z7" i="30"/>
  <c r="Z11" i="30"/>
  <c r="Z21" i="30"/>
  <c r="I19" i="27"/>
  <c r="C35" i="30"/>
  <c r="J35" i="30"/>
  <c r="M35" i="30"/>
  <c r="D35" i="30"/>
  <c r="G35" i="30"/>
  <c r="N35" i="30"/>
  <c r="U26" i="27"/>
  <c r="O35" i="30"/>
  <c r="I35" i="30"/>
  <c r="B35" i="30"/>
  <c r="H35" i="30"/>
  <c r="K35" i="30"/>
  <c r="E35" i="30"/>
  <c r="F35" i="30"/>
  <c r="Y25" i="30"/>
  <c r="U25" i="30"/>
  <c r="K25" i="31"/>
  <c r="D24" i="28"/>
  <c r="K25" i="8"/>
  <c r="M19" i="27"/>
  <c r="B7" i="27"/>
  <c r="X24" i="30"/>
  <c r="P16" i="30"/>
  <c r="P6" i="30"/>
  <c r="P11" i="30"/>
  <c r="P30" i="30"/>
  <c r="N25" i="30"/>
  <c r="J25" i="30"/>
  <c r="F25" i="30"/>
  <c r="B25" i="30"/>
  <c r="I25" i="30"/>
  <c r="E25" i="30"/>
  <c r="L25" i="30"/>
  <c r="H25" i="30"/>
  <c r="D25" i="30"/>
  <c r="O25" i="30"/>
  <c r="K25" i="30"/>
  <c r="G25" i="30"/>
  <c r="C25" i="30"/>
  <c r="M7" i="27"/>
  <c r="I7" i="27"/>
  <c r="E7" i="27"/>
  <c r="D7" i="27"/>
  <c r="E19" i="27"/>
  <c r="L19" i="27"/>
  <c r="H19" i="27"/>
  <c r="D19" i="27"/>
  <c r="L7" i="27"/>
  <c r="H7" i="27"/>
  <c r="O19" i="27"/>
  <c r="K19" i="27"/>
  <c r="G19" i="27"/>
  <c r="C19" i="27"/>
  <c r="O7" i="27"/>
  <c r="K7" i="27"/>
  <c r="G7" i="27"/>
  <c r="C7" i="27"/>
  <c r="N19" i="27"/>
  <c r="J19" i="27"/>
  <c r="F19" i="27"/>
  <c r="N7" i="27"/>
  <c r="J7" i="27"/>
  <c r="F7" i="27"/>
  <c r="C18" i="26"/>
  <c r="Z24" i="30" l="1"/>
  <c r="P35" i="30"/>
  <c r="P25" i="30"/>
  <c r="P19" i="27"/>
  <c r="P7" i="27"/>
  <c r="B14" i="4"/>
  <c r="C19" i="13"/>
  <c r="C10" i="13"/>
  <c r="C19" i="23"/>
  <c r="D19" i="23" s="1"/>
  <c r="E19" i="23" s="1"/>
  <c r="C40" i="23"/>
  <c r="D40" i="23" s="1"/>
  <c r="E40" i="23" s="1"/>
  <c r="C21" i="23"/>
  <c r="D21" i="23" s="1"/>
  <c r="E21" i="23" s="1"/>
  <c r="C15" i="23"/>
  <c r="D15" i="23" s="1"/>
  <c r="E15" i="23" s="1"/>
  <c r="J29" i="20"/>
  <c r="J28" i="20"/>
  <c r="J27" i="20"/>
  <c r="J26" i="20"/>
  <c r="J19" i="20"/>
  <c r="J18" i="20"/>
  <c r="J17" i="20"/>
  <c r="J16" i="20"/>
  <c r="J15" i="20"/>
  <c r="J14" i="20"/>
  <c r="J13" i="20"/>
  <c r="J12" i="20"/>
  <c r="J11" i="20"/>
  <c r="K11" i="20" s="1"/>
  <c r="M11" i="20" s="1"/>
  <c r="J10" i="20"/>
  <c r="J9" i="20"/>
  <c r="J8" i="20"/>
  <c r="J7" i="20"/>
  <c r="K7" i="20" s="1"/>
  <c r="M7" i="20" s="1"/>
  <c r="J6" i="20"/>
  <c r="C22" i="13" l="1"/>
  <c r="B16" i="4" s="1"/>
  <c r="F19" i="23"/>
  <c r="F15" i="23"/>
  <c r="F40" i="23"/>
  <c r="F21" i="23"/>
  <c r="D51" i="20" l="1"/>
  <c r="N37" i="20" l="1"/>
  <c r="O37" i="20" s="1"/>
  <c r="Q37" i="20" s="1"/>
  <c r="B50" i="20" s="1"/>
  <c r="H19" i="13" l="1"/>
  <c r="H10" i="13"/>
  <c r="H22" i="13" s="1"/>
  <c r="D22" i="1" l="1"/>
  <c r="I19" i="13" l="1"/>
  <c r="I10" i="13"/>
  <c r="I22" i="13" s="1"/>
  <c r="D38" i="23" l="1"/>
  <c r="E38" i="23" s="1"/>
  <c r="C35" i="23"/>
  <c r="D35" i="23" s="1"/>
  <c r="E35" i="23" s="1"/>
  <c r="C26" i="23"/>
  <c r="D26" i="23" s="1"/>
  <c r="E26" i="23" s="1"/>
  <c r="C8" i="23"/>
  <c r="D8" i="23" s="1"/>
  <c r="E8" i="23" s="1"/>
  <c r="F8" i="23" l="1"/>
  <c r="F38" i="23"/>
  <c r="F35" i="23"/>
  <c r="F26" i="23"/>
  <c r="K9" i="20" l="1"/>
  <c r="M9" i="20" s="1"/>
  <c r="K10" i="20"/>
  <c r="M10" i="20" s="1"/>
  <c r="C23" i="23" l="1"/>
  <c r="D23" i="23" s="1"/>
  <c r="E23" i="23" s="1"/>
  <c r="C12" i="23"/>
  <c r="D12" i="23" s="1"/>
  <c r="E12" i="23" s="1"/>
  <c r="C24" i="23"/>
  <c r="D24" i="23" s="1"/>
  <c r="E24" i="23" s="1"/>
  <c r="F23" i="23" l="1"/>
  <c r="F12" i="23"/>
  <c r="F24" i="23"/>
  <c r="C10" i="23"/>
  <c r="D10" i="23" s="1"/>
  <c r="E10" i="23" s="1"/>
  <c r="C11" i="23"/>
  <c r="D11" i="23" s="1"/>
  <c r="E11" i="23" s="1"/>
  <c r="C13" i="23"/>
  <c r="D13" i="23" s="1"/>
  <c r="E13" i="23" s="1"/>
  <c r="D14" i="23"/>
  <c r="E14" i="23" s="1"/>
  <c r="C16" i="23"/>
  <c r="D16" i="23" s="1"/>
  <c r="E16" i="23" s="1"/>
  <c r="C20" i="23"/>
  <c r="D20" i="23" s="1"/>
  <c r="E20" i="23" s="1"/>
  <c r="C22" i="23"/>
  <c r="D22" i="23" s="1"/>
  <c r="E22" i="23" s="1"/>
  <c r="C27" i="23"/>
  <c r="D27" i="23" s="1"/>
  <c r="E27" i="23" s="1"/>
  <c r="C28" i="23"/>
  <c r="D28" i="23" s="1"/>
  <c r="E28" i="23" s="1"/>
  <c r="C30" i="23"/>
  <c r="D30" i="23" s="1"/>
  <c r="E30" i="23" s="1"/>
  <c r="C31" i="23"/>
  <c r="D31" i="23" s="1"/>
  <c r="E31" i="23" s="1"/>
  <c r="C33" i="23"/>
  <c r="D33" i="23" s="1"/>
  <c r="E33" i="23" s="1"/>
  <c r="C34" i="23"/>
  <c r="D34" i="23" s="1"/>
  <c r="E34" i="23" s="1"/>
  <c r="C37" i="23"/>
  <c r="D37" i="23" s="1"/>
  <c r="E37" i="23" s="1"/>
  <c r="C39" i="23"/>
  <c r="D39" i="23" s="1"/>
  <c r="E39" i="23" s="1"/>
  <c r="C41" i="23"/>
  <c r="D41" i="23" s="1"/>
  <c r="E41" i="23" s="1"/>
  <c r="C42" i="23"/>
  <c r="D42" i="23" s="1"/>
  <c r="E42" i="23" s="1"/>
  <c r="C43" i="23"/>
  <c r="D43" i="23" s="1"/>
  <c r="E43" i="23" s="1"/>
  <c r="C9" i="23"/>
  <c r="D9" i="23" s="1"/>
  <c r="E9" i="23" s="1"/>
  <c r="C7" i="23"/>
  <c r="D7" i="23" s="1"/>
  <c r="E7" i="23" s="1"/>
  <c r="D44" i="23" l="1"/>
  <c r="C44" i="23"/>
  <c r="F43" i="23"/>
  <c r="F39" i="23"/>
  <c r="F37" i="23"/>
  <c r="F9" i="23"/>
  <c r="F11" i="23"/>
  <c r="F30" i="23"/>
  <c r="F13" i="23"/>
  <c r="F27" i="23"/>
  <c r="F20" i="23"/>
  <c r="F14" i="23"/>
  <c r="F10" i="23"/>
  <c r="F31" i="23"/>
  <c r="F7" i="23"/>
  <c r="F41" i="23"/>
  <c r="F33" i="23"/>
  <c r="F28" i="23"/>
  <c r="F22" i="23"/>
  <c r="F16" i="23"/>
  <c r="F42" i="23"/>
  <c r="F34" i="23"/>
  <c r="F44" i="23" l="1"/>
  <c r="E44" i="23"/>
  <c r="G10" i="13" l="1"/>
  <c r="E50" i="20" l="1"/>
  <c r="G19" i="13" l="1"/>
  <c r="G22" i="13" s="1"/>
  <c r="B20" i="4" l="1"/>
  <c r="B20" i="3" l="1"/>
  <c r="B24" i="3" s="1"/>
  <c r="I30" i="20" l="1"/>
  <c r="H30" i="20"/>
  <c r="G30" i="20"/>
  <c r="F30" i="20"/>
  <c r="E30" i="20"/>
  <c r="D30" i="20"/>
  <c r="C30" i="20"/>
  <c r="K26" i="20" l="1"/>
  <c r="M26" i="20" s="1"/>
  <c r="K29" i="20" l="1"/>
  <c r="M29" i="20" s="1"/>
  <c r="K28" i="20"/>
  <c r="M28" i="20" s="1"/>
  <c r="I20" i="20"/>
  <c r="H20" i="20"/>
  <c r="G20" i="20"/>
  <c r="F20" i="20"/>
  <c r="E20" i="20"/>
  <c r="D20" i="20"/>
  <c r="C20" i="20"/>
  <c r="K19" i="20"/>
  <c r="M19" i="20" s="1"/>
  <c r="K18" i="20"/>
  <c r="M18" i="20" s="1"/>
  <c r="K17" i="20"/>
  <c r="M17" i="20" s="1"/>
  <c r="K16" i="20"/>
  <c r="M16" i="20" s="1"/>
  <c r="K15" i="20"/>
  <c r="M15" i="20" s="1"/>
  <c r="K14" i="20"/>
  <c r="M14" i="20" s="1"/>
  <c r="K13" i="20"/>
  <c r="M13" i="20" s="1"/>
  <c r="K12" i="20"/>
  <c r="M12" i="20" s="1"/>
  <c r="K8" i="20"/>
  <c r="M8" i="20" s="1"/>
  <c r="K6" i="20"/>
  <c r="M6" i="20" s="1"/>
  <c r="M20" i="20" l="1"/>
  <c r="B48" i="20" s="1"/>
  <c r="K27" i="20"/>
  <c r="M27" i="20" s="1"/>
  <c r="M30" i="20" s="1"/>
  <c r="B49" i="20" s="1"/>
  <c r="J30" i="20"/>
  <c r="J20" i="20"/>
  <c r="B8" i="4"/>
  <c r="B7" i="4"/>
  <c r="B6" i="4"/>
  <c r="B5" i="4"/>
  <c r="B4" i="4"/>
  <c r="K30" i="20" l="1"/>
  <c r="E49" i="20" s="1"/>
  <c r="B9" i="4"/>
  <c r="K20" i="20"/>
  <c r="E48" i="20" s="1"/>
  <c r="J19" i="13"/>
  <c r="J10" i="13"/>
  <c r="B11" i="4" l="1"/>
  <c r="B12" i="4"/>
  <c r="J22" i="13"/>
  <c r="B10" i="4"/>
  <c r="B28" i="3"/>
  <c r="B30" i="3" s="1"/>
  <c r="B21" i="4" l="1"/>
  <c r="B51" i="20"/>
  <c r="C1" i="26" l="1"/>
  <c r="F13" i="3"/>
  <c r="D12" i="26" l="1"/>
  <c r="D13" i="26"/>
  <c r="D5" i="26"/>
  <c r="D9" i="26"/>
  <c r="D17" i="26"/>
  <c r="D6" i="26"/>
  <c r="D8" i="26"/>
  <c r="D4" i="26"/>
  <c r="D11" i="26"/>
  <c r="D15" i="26"/>
  <c r="D14" i="26"/>
  <c r="D7" i="26"/>
  <c r="D10" i="26"/>
  <c r="D16" i="26"/>
  <c r="L40" i="26" l="1"/>
  <c r="L30" i="26"/>
  <c r="L38" i="26"/>
  <c r="L31" i="26"/>
  <c r="L37" i="26"/>
  <c r="L27" i="26"/>
  <c r="L23" i="26"/>
  <c r="L29" i="26"/>
  <c r="L39" i="26"/>
  <c r="L24" i="26"/>
  <c r="L33" i="26"/>
  <c r="L28" i="26"/>
  <c r="L34" i="26"/>
  <c r="L35" i="26"/>
  <c r="L26" i="26"/>
  <c r="L32" i="26"/>
  <c r="L36" i="26"/>
  <c r="L25" i="26"/>
  <c r="M38" i="26"/>
  <c r="M35" i="26"/>
  <c r="M25" i="26"/>
  <c r="M36" i="26"/>
  <c r="M28" i="26"/>
  <c r="M34" i="26"/>
  <c r="M29" i="26"/>
  <c r="M24" i="26"/>
  <c r="M23" i="26"/>
  <c r="M39" i="26"/>
  <c r="M32" i="26"/>
  <c r="M40" i="26"/>
  <c r="M37" i="26"/>
  <c r="M33" i="26"/>
  <c r="M30" i="26"/>
  <c r="M27" i="26"/>
  <c r="M31" i="26"/>
  <c r="M26" i="26"/>
  <c r="K26" i="26"/>
  <c r="K34" i="26"/>
  <c r="K35" i="26"/>
  <c r="K39" i="26"/>
  <c r="K40" i="26"/>
  <c r="K32" i="26"/>
  <c r="K36" i="26"/>
  <c r="K31" i="26"/>
  <c r="K33" i="26"/>
  <c r="K27" i="26"/>
  <c r="K25" i="26"/>
  <c r="K30" i="26"/>
  <c r="K38" i="26"/>
  <c r="K28" i="26"/>
  <c r="K23" i="26"/>
  <c r="K29" i="26"/>
  <c r="K37" i="26"/>
  <c r="K24" i="26"/>
  <c r="G27" i="26"/>
  <c r="G31" i="26"/>
  <c r="G35" i="26"/>
  <c r="G39" i="26"/>
  <c r="G25" i="26"/>
  <c r="G29" i="26"/>
  <c r="G33" i="26"/>
  <c r="G37" i="26"/>
  <c r="G23" i="26"/>
  <c r="G24" i="26"/>
  <c r="G32" i="26"/>
  <c r="G40" i="26"/>
  <c r="G34" i="26"/>
  <c r="G28" i="26"/>
  <c r="G30" i="26"/>
  <c r="G38" i="26"/>
  <c r="G26" i="26"/>
  <c r="G36" i="26"/>
  <c r="D24" i="26"/>
  <c r="D28" i="26"/>
  <c r="D32" i="26"/>
  <c r="D36" i="26"/>
  <c r="D40" i="26"/>
  <c r="D26" i="26"/>
  <c r="D30" i="26"/>
  <c r="D34" i="26"/>
  <c r="D38" i="26"/>
  <c r="D29" i="26"/>
  <c r="D37" i="26"/>
  <c r="D31" i="26"/>
  <c r="D25" i="26"/>
  <c r="D23" i="26"/>
  <c r="D27" i="26"/>
  <c r="D35" i="26"/>
  <c r="D39" i="26"/>
  <c r="D33" i="26"/>
  <c r="O24" i="26"/>
  <c r="O28" i="26"/>
  <c r="O32" i="26"/>
  <c r="O36" i="26"/>
  <c r="O40" i="26"/>
  <c r="O25" i="26"/>
  <c r="O29" i="26"/>
  <c r="O33" i="26"/>
  <c r="O37" i="26"/>
  <c r="O23" i="26"/>
  <c r="O26" i="26"/>
  <c r="O30" i="26"/>
  <c r="O34" i="26"/>
  <c r="O38" i="26"/>
  <c r="O27" i="26"/>
  <c r="O31" i="26"/>
  <c r="O35" i="26"/>
  <c r="O39" i="26"/>
  <c r="N24" i="26"/>
  <c r="N28" i="26"/>
  <c r="N32" i="26"/>
  <c r="N36" i="26"/>
  <c r="N25" i="26"/>
  <c r="N29" i="26"/>
  <c r="N33" i="26"/>
  <c r="N37" i="26"/>
  <c r="N23" i="26"/>
  <c r="N26" i="26"/>
  <c r="N30" i="26"/>
  <c r="N34" i="26"/>
  <c r="N38" i="26"/>
  <c r="N40" i="26"/>
  <c r="N27" i="26"/>
  <c r="N31" i="26"/>
  <c r="N35" i="26"/>
  <c r="N39" i="26"/>
  <c r="E25" i="26"/>
  <c r="E29" i="26"/>
  <c r="E33" i="26"/>
  <c r="E37" i="26"/>
  <c r="E23" i="26"/>
  <c r="E27" i="26"/>
  <c r="E31" i="26"/>
  <c r="E35" i="26"/>
  <c r="E39" i="26"/>
  <c r="E38" i="26"/>
  <c r="E32" i="26"/>
  <c r="E26" i="26"/>
  <c r="E28" i="26"/>
  <c r="E36" i="26"/>
  <c r="E30" i="26"/>
  <c r="E24" i="26"/>
  <c r="E40" i="26"/>
  <c r="E34" i="26"/>
  <c r="I27" i="26"/>
  <c r="I31" i="26"/>
  <c r="I35" i="26"/>
  <c r="I39" i="26"/>
  <c r="I25" i="26"/>
  <c r="I29" i="26"/>
  <c r="I33" i="26"/>
  <c r="I37" i="26"/>
  <c r="I23" i="26"/>
  <c r="I28" i="26"/>
  <c r="I36" i="26"/>
  <c r="I32" i="26"/>
  <c r="I26" i="26"/>
  <c r="I34" i="26"/>
  <c r="I30" i="26"/>
  <c r="I38" i="26"/>
  <c r="I24" i="26"/>
  <c r="I40" i="26"/>
  <c r="J24" i="26"/>
  <c r="J28" i="26"/>
  <c r="J32" i="26"/>
  <c r="J36" i="26"/>
  <c r="J40" i="26"/>
  <c r="J25" i="26"/>
  <c r="J26" i="26"/>
  <c r="J30" i="26"/>
  <c r="J34" i="26"/>
  <c r="J38" i="26"/>
  <c r="J27" i="26"/>
  <c r="J29" i="26"/>
  <c r="J37" i="26"/>
  <c r="J39" i="26"/>
  <c r="J23" i="26"/>
  <c r="J35" i="26"/>
  <c r="J31" i="26"/>
  <c r="J33" i="26"/>
  <c r="P26" i="26"/>
  <c r="P30" i="26"/>
  <c r="P34" i="26"/>
  <c r="P38" i="26"/>
  <c r="P23" i="26"/>
  <c r="P27" i="26"/>
  <c r="P31" i="26"/>
  <c r="P35" i="26"/>
  <c r="P39" i="26"/>
  <c r="P24" i="26"/>
  <c r="P28" i="26"/>
  <c r="P32" i="26"/>
  <c r="P36" i="26"/>
  <c r="P40" i="26"/>
  <c r="P25" i="26"/>
  <c r="P29" i="26"/>
  <c r="P33" i="26"/>
  <c r="P37" i="26"/>
  <c r="F25" i="26"/>
  <c r="F29" i="26"/>
  <c r="F33" i="26"/>
  <c r="F37" i="26"/>
  <c r="F23" i="26"/>
  <c r="F26" i="26"/>
  <c r="F30" i="26"/>
  <c r="F34" i="26"/>
  <c r="F38" i="26"/>
  <c r="F27" i="26"/>
  <c r="F31" i="26"/>
  <c r="F35" i="26"/>
  <c r="F39" i="26"/>
  <c r="F24" i="26"/>
  <c r="F28" i="26"/>
  <c r="F32" i="26"/>
  <c r="F36" i="26"/>
  <c r="F40" i="26"/>
  <c r="C26" i="26"/>
  <c r="C30" i="26"/>
  <c r="C34" i="26"/>
  <c r="C38" i="26"/>
  <c r="C24" i="26"/>
  <c r="C28" i="26"/>
  <c r="C32" i="26"/>
  <c r="C36" i="26"/>
  <c r="C40" i="26"/>
  <c r="C27" i="26"/>
  <c r="C29" i="26"/>
  <c r="C39" i="26"/>
  <c r="C25" i="26"/>
  <c r="C33" i="26"/>
  <c r="C23" i="26"/>
  <c r="C35" i="26"/>
  <c r="C37" i="26"/>
  <c r="C31" i="26"/>
  <c r="D18" i="26"/>
  <c r="H25" i="26"/>
  <c r="H29" i="26"/>
  <c r="H33" i="26"/>
  <c r="H37" i="26"/>
  <c r="H23" i="26"/>
  <c r="H27" i="26"/>
  <c r="H31" i="26"/>
  <c r="H35" i="26"/>
  <c r="H39" i="26"/>
  <c r="H26" i="26"/>
  <c r="H34" i="26"/>
  <c r="H30" i="26"/>
  <c r="H24" i="26"/>
  <c r="H32" i="26"/>
  <c r="H40" i="26"/>
  <c r="H28" i="26"/>
  <c r="H36" i="26"/>
  <c r="H38" i="26"/>
  <c r="M41" i="26" l="1"/>
  <c r="L41" i="26"/>
  <c r="Q34" i="26"/>
  <c r="C15" i="1" s="1"/>
  <c r="E41" i="26"/>
  <c r="Q29" i="26"/>
  <c r="C10" i="1" s="1"/>
  <c r="Q32" i="26"/>
  <c r="C41" i="26"/>
  <c r="Q23" i="26"/>
  <c r="C4" i="1" s="1"/>
  <c r="G41" i="26"/>
  <c r="Q31" i="26"/>
  <c r="C12" i="1" s="1"/>
  <c r="Q28" i="26"/>
  <c r="C9" i="1" s="1"/>
  <c r="H41" i="26"/>
  <c r="Q35" i="26"/>
  <c r="C16" i="1" s="1"/>
  <c r="Q39" i="26"/>
  <c r="C20" i="1" s="1"/>
  <c r="Q36" i="26"/>
  <c r="C17" i="1" s="1"/>
  <c r="Q38" i="26"/>
  <c r="C19" i="1" s="1"/>
  <c r="O41" i="26"/>
  <c r="F41" i="26"/>
  <c r="Q33" i="26"/>
  <c r="C14" i="1" s="1"/>
  <c r="Q27" i="26"/>
  <c r="C8" i="1" s="1"/>
  <c r="Q30" i="26"/>
  <c r="C11" i="1" s="1"/>
  <c r="D41" i="26"/>
  <c r="K41" i="26"/>
  <c r="Q37" i="26"/>
  <c r="C18" i="1" s="1"/>
  <c r="Q40" i="26"/>
  <c r="C21" i="1" s="1"/>
  <c r="Q24" i="26"/>
  <c r="C5" i="1" s="1"/>
  <c r="Q26" i="26"/>
  <c r="C7" i="1" s="1"/>
  <c r="P41" i="26"/>
  <c r="J41" i="26"/>
  <c r="I41" i="26"/>
  <c r="N41" i="26"/>
  <c r="Q25" i="26"/>
  <c r="C6" i="1" s="1"/>
  <c r="S32" i="26" l="1"/>
  <c r="C13" i="1"/>
  <c r="Q42" i="26"/>
  <c r="S34" i="26"/>
  <c r="S29" i="26"/>
  <c r="S40" i="26"/>
  <c r="S30" i="26"/>
  <c r="S35" i="26"/>
  <c r="S25" i="26"/>
  <c r="S37" i="26"/>
  <c r="S27" i="26"/>
  <c r="S38" i="26"/>
  <c r="S23" i="26"/>
  <c r="S26" i="26"/>
  <c r="S33" i="26"/>
  <c r="S36" i="26"/>
  <c r="S28" i="26"/>
  <c r="S24" i="26"/>
  <c r="S39" i="26"/>
  <c r="S31" i="26"/>
  <c r="Q41" i="26"/>
  <c r="S41" i="26" l="1"/>
  <c r="F8" i="1"/>
  <c r="E13" i="1" l="1"/>
  <c r="E8" i="1"/>
  <c r="E14" i="1"/>
  <c r="F16" i="1"/>
  <c r="F21" i="1"/>
  <c r="E17" i="1"/>
  <c r="F9" i="1"/>
  <c r="E12" i="1"/>
  <c r="F12" i="1"/>
  <c r="F11" i="1"/>
  <c r="E11" i="1"/>
  <c r="E10" i="1"/>
  <c r="F10" i="1"/>
  <c r="F7" i="1"/>
  <c r="E7" i="1"/>
  <c r="F14" i="1" l="1"/>
  <c r="F13" i="1"/>
  <c r="F17" i="1"/>
  <c r="E16" i="1"/>
  <c r="E21" i="1"/>
  <c r="E9" i="1"/>
  <c r="F20" i="1"/>
  <c r="F15" i="1"/>
  <c r="E15" i="1" l="1"/>
  <c r="E20" i="1"/>
  <c r="E6" i="1"/>
  <c r="F6" i="1" l="1"/>
  <c r="E18" i="1"/>
  <c r="F18" i="1"/>
  <c r="F19" i="1"/>
  <c r="E19" i="1"/>
  <c r="F4" i="1"/>
  <c r="E4" i="1"/>
  <c r="E5" i="1" l="1"/>
  <c r="E22" i="1" s="1"/>
  <c r="F5" i="1"/>
  <c r="C22" i="1"/>
  <c r="F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Strungova</author>
  </authors>
  <commentList>
    <comment ref="C5" authorId="0" shapeId="0" xr:uid="{AD43EAEE-AE91-43E3-9819-091BD5046874}">
      <text>
        <r>
          <rPr>
            <b/>
            <sz val="9"/>
            <color indexed="81"/>
            <rFont val="Tahoma"/>
            <family val="2"/>
            <charset val="238"/>
          </rPr>
          <t>Strungova:</t>
        </r>
        <r>
          <rPr>
            <sz val="9"/>
            <color indexed="81"/>
            <rFont val="Tahoma"/>
            <family val="2"/>
            <charset val="238"/>
          </rPr>
          <t xml:space="preserve">
platí 5 let;
v roce 2023 máme 3.rok;
2021-2025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Strungova</author>
  </authors>
  <commentList>
    <comment ref="E7" authorId="0" shapeId="0" xr:uid="{A9D739CA-BC31-45AB-B51F-1289048DEC9D}">
      <text>
        <r>
          <rPr>
            <b/>
            <sz val="9"/>
            <color indexed="81"/>
            <rFont val="Tahoma"/>
            <family val="2"/>
            <charset val="238"/>
          </rPr>
          <t>Strungova:</t>
        </r>
        <r>
          <rPr>
            <sz val="9"/>
            <color indexed="81"/>
            <rFont val="Tahoma"/>
            <family val="2"/>
            <charset val="238"/>
          </rPr>
          <t xml:space="preserve">
navýšení z 6 na 7 OA od 9/2023
</t>
        </r>
      </text>
    </comment>
    <comment ref="G7" authorId="0" shapeId="0" xr:uid="{357F5D64-04ED-48EF-8350-4B32441A7B79}">
      <text>
        <r>
          <rPr>
            <b/>
            <sz val="8"/>
            <color indexed="81"/>
            <rFont val="Tahoma"/>
            <family val="2"/>
            <charset val="238"/>
          </rPr>
          <t>Strungova:</t>
        </r>
        <r>
          <rPr>
            <sz val="8"/>
            <color indexed="81"/>
            <rFont val="Tahoma"/>
            <family val="2"/>
            <charset val="238"/>
          </rPr>
          <t xml:space="preserve">
navýšení z 0 na 1 lektora od 9/2023</t>
        </r>
      </text>
    </comment>
    <comment ref="E11" authorId="0" shapeId="0" xr:uid="{35A59658-12F2-4EC2-8642-6DC35B76E297}">
      <text>
        <r>
          <rPr>
            <b/>
            <sz val="9"/>
            <color indexed="81"/>
            <rFont val="Tahoma"/>
            <family val="2"/>
            <charset val="238"/>
          </rPr>
          <t>Strungova:</t>
        </r>
        <r>
          <rPr>
            <sz val="9"/>
            <color indexed="81"/>
            <rFont val="Tahoma"/>
            <family val="2"/>
            <charset val="238"/>
          </rPr>
          <t xml:space="preserve">
navýšení z 5,5 na 6 OA od 9/2023</t>
        </r>
      </text>
    </comment>
    <comment ref="G11" authorId="0" shapeId="0" xr:uid="{51BB28F1-F9A9-47E5-ABF7-94B559005B46}">
      <text>
        <r>
          <rPr>
            <b/>
            <sz val="8"/>
            <color indexed="81"/>
            <rFont val="Tahoma"/>
            <family val="2"/>
            <charset val="238"/>
          </rPr>
          <t>Strungova:</t>
        </r>
        <r>
          <rPr>
            <sz val="8"/>
            <color indexed="81"/>
            <rFont val="Tahoma"/>
            <family val="2"/>
            <charset val="238"/>
          </rPr>
          <t xml:space="preserve">
 v roce 2024 dojde k navýšení z 1 lektora na 2 lektory od září 2024</t>
        </r>
      </text>
    </comment>
    <comment ref="G14" authorId="0" shapeId="0" xr:uid="{1BD2542F-FF02-4E53-A506-EE626983B6C8}">
      <text>
        <r>
          <rPr>
            <b/>
            <sz val="8"/>
            <color indexed="81"/>
            <rFont val="Tahoma"/>
            <family val="2"/>
            <charset val="238"/>
          </rPr>
          <t>Strungova:</t>
        </r>
        <r>
          <rPr>
            <sz val="8"/>
            <color indexed="81"/>
            <rFont val="Tahoma"/>
            <family val="2"/>
            <charset val="238"/>
          </rPr>
          <t xml:space="preserve">
navýšení z 1 lektora na 2 lektory od 1/2023
</t>
        </r>
      </text>
    </comment>
    <comment ref="L37" authorId="0" shapeId="0" xr:uid="{2768292D-6611-4756-9AB6-701D5541C881}">
      <text>
        <r>
          <rPr>
            <b/>
            <sz val="9"/>
            <color indexed="81"/>
            <rFont val="Tahoma"/>
            <family val="2"/>
            <charset val="238"/>
          </rPr>
          <t>Strungova:</t>
        </r>
        <r>
          <rPr>
            <sz val="9"/>
            <color indexed="81"/>
            <rFont val="Tahoma"/>
            <family val="2"/>
            <charset val="238"/>
          </rPr>
          <t xml:space="preserve">
totožná úprava jako pro rok 2021 a 2022 - pro rok 2023 sníženo o 1 mil. Kč, resp. 750 tis. Kč a SP, ZP = odměny za Metodiku 17+; odměny budou hrazeny z FPP; navýšení fondu o 250 tis. Kč pro rok 2023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Strungova</author>
  </authors>
  <commentList>
    <comment ref="B4" authorId="0" shapeId="0" xr:uid="{E68BF1D9-2CA2-4AA5-BE24-5CCBC9B87A69}">
      <text>
        <r>
          <rPr>
            <b/>
            <sz val="9"/>
            <color indexed="81"/>
            <rFont val="Tahoma"/>
            <family val="2"/>
            <charset val="238"/>
          </rPr>
          <t>Strungova:</t>
        </r>
        <r>
          <rPr>
            <sz val="9"/>
            <color indexed="81"/>
            <rFont val="Tahoma"/>
            <family val="2"/>
            <charset val="238"/>
          </rPr>
          <t xml:space="preserve">
pro rok 2023 navrhujeme úhradu z FPP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Strungova</author>
    <author>Iveta Strungová</author>
  </authors>
  <commentList>
    <comment ref="Q8" authorId="0" shapeId="0" xr:uid="{CD287D97-51AA-4880-AF32-89DFA73695EB}">
      <text>
        <r>
          <rPr>
            <b/>
            <sz val="9"/>
            <color indexed="81"/>
            <rFont val="Tahoma"/>
            <family val="2"/>
            <charset val="238"/>
          </rPr>
          <t>Strungova:</t>
        </r>
        <r>
          <rPr>
            <sz val="9"/>
            <color indexed="81"/>
            <rFont val="Tahoma"/>
            <family val="2"/>
            <charset val="238"/>
          </rPr>
          <t xml:space="preserve">
katedry přečerpaly 1.820.621 Kč
katedry nedočerpaly 631.222 Kč
Rozdíl = přečerpáno o 1.189.399 Kč</t>
        </r>
      </text>
    </comment>
    <comment ref="Q18" authorId="1" shapeId="0" xr:uid="{3D3A1FC2-4515-4ACB-9A88-694507451337}">
      <text>
        <r>
          <rPr>
            <b/>
            <sz val="8"/>
            <color indexed="81"/>
            <rFont val="Tahoma"/>
            <family val="2"/>
            <charset val="238"/>
          </rPr>
          <t>Iveta Strungová:</t>
        </r>
        <r>
          <rPr>
            <sz val="8"/>
            <color indexed="81"/>
            <rFont val="Tahoma"/>
            <family val="2"/>
            <charset val="238"/>
          </rPr>
          <t xml:space="preserve">
Z FPP2020 katedry:
nedočerpaly 12.473 Kč
přečerpaly 30.346 Kč
rozdíl =-17.873 Kč
pozn.: mínus v rozdílu znamená, že přidávám katedrám z celofakultního FPP. Do celofakultního FPP se částka dostane tak, že katedry, které přečerpají, vrátí přečerpání děkanátu, který rozdíl uhradil.</t>
        </r>
      </text>
    </comment>
    <comment ref="E42" authorId="0" shapeId="0" xr:uid="{707CA095-7055-423F-B4C4-9D3C0ABEE5BD}">
      <text>
        <r>
          <rPr>
            <b/>
            <sz val="9"/>
            <color indexed="81"/>
            <rFont val="Tahoma"/>
            <family val="2"/>
            <charset val="238"/>
          </rPr>
          <t>Strungova:</t>
        </r>
        <r>
          <rPr>
            <sz val="9"/>
            <color indexed="81"/>
            <rFont val="Tahoma"/>
            <family val="2"/>
            <charset val="238"/>
          </rPr>
          <t xml:space="preserve">
Převod do FPP ve výši 1.284.441 Kč;
Pro následující dva roky (2023 a 2024) mají katedry k vyčerpání 838.494 Kč z FPP
(Zůstatek FPP 2021 pro katedry =2.010.018 Kč
mínus nedočerpaný FPP roku 2020 =-12.473 Kč
plus přečerpaný FPP 2020=+30.346 Kč
mínus přečerpání roku 2022 =-1.820.621 Kč
plus nevyčerpaný rok 2022 =+631.222 Kč
Zůstatek FPP 2022 pro katedry =838.494 Kč (2 Kč rozdíl - vznikl při zaokrouhlování)
Děkanát v roce 2023 předpokádá vyčerpat z FPP cca 17 mil. Kč.:
- 0,8 mil. Kč CIT P2
- 0,8 mil. Kč UK P2
- 2,2 mil. Kč garanti
- 3,0 mil. Kč stravenky
- 1,0 mil. Kč odměny Metodika 17+
- 2,3 mil. Kč fond personálního rozvoje
- 0,6 mil. Kč fond podpory kvality
- 0,8 mil. Kč úklid
- 5,0 mil. Kč mzdy-naplňování strategických cílů FF OU
</t>
        </r>
      </text>
    </comment>
  </commentList>
</comments>
</file>

<file path=xl/sharedStrings.xml><?xml version="1.0" encoding="utf-8"?>
<sst xmlns="http://schemas.openxmlformats.org/spreadsheetml/2006/main" count="1773" uniqueCount="439">
  <si>
    <t>Pracoviště</t>
  </si>
  <si>
    <t>Název</t>
  </si>
  <si>
    <t>Katedra filozofie</t>
  </si>
  <si>
    <t>Katedra sociologie</t>
  </si>
  <si>
    <t>Katedra slavistiky</t>
  </si>
  <si>
    <t>Katedra českého jazyka</t>
  </si>
  <si>
    <t>Katedra české literatury a literární vědy</t>
  </si>
  <si>
    <t>Katedra dějin umění</t>
  </si>
  <si>
    <t>Centrum regionálních studií</t>
  </si>
  <si>
    <t>Katedra anglistiky a amerikanistiky</t>
  </si>
  <si>
    <t>Katedra romanistiky</t>
  </si>
  <si>
    <t>Katedra germanistiky</t>
  </si>
  <si>
    <t>Centrum výzkumu odborného jazyka</t>
  </si>
  <si>
    <t>Katedra psychologie</t>
  </si>
  <si>
    <t>Katedra historie</t>
  </si>
  <si>
    <t>Katedra latinského jazyka a kultury</t>
  </si>
  <si>
    <t>Centrum pro hospodářské a sociální dějiny</t>
  </si>
  <si>
    <t>Celkem</t>
  </si>
  <si>
    <t>%</t>
  </si>
  <si>
    <t>Přehled</t>
  </si>
  <si>
    <t>opravy a estetizace dle Dlouhodobého záměru, řešení havarijních stavů</t>
  </si>
  <si>
    <t>viz list opravy</t>
  </si>
  <si>
    <t>stravenky</t>
  </si>
  <si>
    <t>provoz FF OU</t>
  </si>
  <si>
    <t>viz list provoz</t>
  </si>
  <si>
    <t>Popis nákladu</t>
  </si>
  <si>
    <t>Zahraniční cestové; zahraniční služební cesty celofakultního významu; schvaluje KD</t>
  </si>
  <si>
    <t>Poštovné</t>
  </si>
  <si>
    <t xml:space="preserve">Ediční činnost dle edičního plánu </t>
  </si>
  <si>
    <t>Pojištění osob a budov; Kooperativa</t>
  </si>
  <si>
    <t>DPH</t>
  </si>
  <si>
    <t>Celofakultní akce, propagace, vnější PR, Noc vědců, Den otevřených dveří, Týden vědy a techniky, propagační materiály</t>
  </si>
  <si>
    <t>Reprefond děkana</t>
  </si>
  <si>
    <t>Celkem FF OU</t>
  </si>
  <si>
    <t>Položka</t>
  </si>
  <si>
    <t>pozn.:</t>
  </si>
  <si>
    <t>pracoviště</t>
  </si>
  <si>
    <t>Údržba výtahu</t>
  </si>
  <si>
    <t>Budova "D" celkem</t>
  </si>
  <si>
    <t>Budova "E" - celkem</t>
  </si>
  <si>
    <t>profesor</t>
  </si>
  <si>
    <t>docent</t>
  </si>
  <si>
    <t>lektor</t>
  </si>
  <si>
    <t>Katedra dějin umění a kulturního dědictví</t>
  </si>
  <si>
    <t>Celkem katedry</t>
  </si>
  <si>
    <t>Celkem centra</t>
  </si>
  <si>
    <t>podpora investičních akcí FF OU</t>
  </si>
  <si>
    <t>Název pracoviště</t>
  </si>
  <si>
    <t>Měsíční mzdové náklady (+10 %) vč. SP a ZP</t>
  </si>
  <si>
    <t>Roční mzdové náklady (+ 10 %) vč. SP a ZP</t>
  </si>
  <si>
    <t>příplatek za vedení</t>
  </si>
  <si>
    <t>259*</t>
  </si>
  <si>
    <t>Celkem děkanát</t>
  </si>
  <si>
    <r>
      <rPr>
        <vertAlign val="superscript"/>
        <sz val="8"/>
        <rFont val="Arial"/>
        <family val="2"/>
        <charset val="238"/>
      </rPr>
      <t xml:space="preserve">2) </t>
    </r>
    <r>
      <rPr>
        <sz val="8"/>
        <rFont val="Arial"/>
        <family val="2"/>
        <charset val="238"/>
      </rPr>
      <t>vedoucí oddělení, tajemník, proděkani</t>
    </r>
  </si>
  <si>
    <r>
      <t xml:space="preserve">4)  </t>
    </r>
    <r>
      <rPr>
        <sz val="8"/>
        <rFont val="Arial"/>
        <family val="2"/>
        <charset val="238"/>
      </rPr>
      <t>externisté hrazeni děkanátem, přednášky, posudky, akce spojené s PR, pedagogické a průběžné praxe</t>
    </r>
  </si>
  <si>
    <t>Katedry</t>
  </si>
  <si>
    <t>Centra</t>
  </si>
  <si>
    <t>Děkanát</t>
  </si>
  <si>
    <t>Výměna žaluzí</t>
  </si>
  <si>
    <t>Odstranění nepotřebného majetku</t>
  </si>
  <si>
    <t>Studovna</t>
  </si>
  <si>
    <t>Pronájmy</t>
  </si>
  <si>
    <t>CERES</t>
  </si>
  <si>
    <t>CVOJ</t>
  </si>
  <si>
    <t>CHSD</t>
  </si>
  <si>
    <t>25610;25410</t>
  </si>
  <si>
    <t>Centrum pro studium středověké spol. a kultury VIVARIUM</t>
  </si>
  <si>
    <t>Souhrn</t>
  </si>
  <si>
    <t>studentodny</t>
  </si>
  <si>
    <t>Výjezdy studentů</t>
  </si>
  <si>
    <t>Příjezdy studentů</t>
  </si>
  <si>
    <t>Malování a opravy vnitřních omítek, výměna podlahových krytin - chodby, učebny, děkanát</t>
  </si>
  <si>
    <t>Finanční prostředky k rozdělení pro katedry a centra</t>
  </si>
  <si>
    <t>Finanční prostředky k rozdělení na fakultě</t>
  </si>
  <si>
    <t xml:space="preserve">Budova "E"         </t>
  </si>
  <si>
    <t>Čs. Legií 9</t>
  </si>
  <si>
    <t xml:space="preserve">Budova "D", "DM"  </t>
  </si>
  <si>
    <t xml:space="preserve"> Reální 3, Reální 5</t>
  </si>
  <si>
    <t>Příjezdy pracovníků</t>
  </si>
  <si>
    <t>příjezdodny</t>
  </si>
  <si>
    <t>Změna</t>
  </si>
  <si>
    <t>finance z normativních prostředků podle ukazatele "A" (studentokredity) - zdroj 1100</t>
  </si>
  <si>
    <t>finance z normativních prostředků podle ukazatele "K" (kvalita a výkon) -  zdroj 1100</t>
  </si>
  <si>
    <t>finacování Priorit 1 - odpisy fakult dle přístrojového vybavení</t>
  </si>
  <si>
    <t>financování Priorit 1 - podíl na celouniverzitním financování P1</t>
  </si>
  <si>
    <t>fianncování Priorit 1 - odpisy celouniverzitní (budovy)</t>
  </si>
  <si>
    <t>Zpracovala: Ing. Iveta Strungová, tajemnice FF OU</t>
  </si>
  <si>
    <t>KFI</t>
  </si>
  <si>
    <t>KSE</t>
  </si>
  <si>
    <t>KČJ</t>
  </si>
  <si>
    <t>KČL</t>
  </si>
  <si>
    <t>KDU</t>
  </si>
  <si>
    <t>KAA</t>
  </si>
  <si>
    <t>KRO</t>
  </si>
  <si>
    <t>KGE</t>
  </si>
  <si>
    <t>KPS</t>
  </si>
  <si>
    <t>KHI</t>
  </si>
  <si>
    <t>KLA</t>
  </si>
  <si>
    <r>
      <t>příplatek za vedení</t>
    </r>
    <r>
      <rPr>
        <b/>
        <vertAlign val="superscript"/>
        <sz val="7"/>
        <rFont val="Arial"/>
        <family val="2"/>
        <charset val="238"/>
      </rPr>
      <t>2)</t>
    </r>
  </si>
  <si>
    <r>
      <t>fond děkana</t>
    </r>
    <r>
      <rPr>
        <b/>
        <vertAlign val="superscript"/>
        <sz val="7"/>
        <rFont val="Arial"/>
        <family val="2"/>
        <charset val="238"/>
      </rPr>
      <t>3)</t>
    </r>
  </si>
  <si>
    <t>mzdové náklady kateder</t>
  </si>
  <si>
    <t>mzdové náklady center</t>
  </si>
  <si>
    <t>KSL</t>
  </si>
  <si>
    <t>VIVARIUM</t>
  </si>
  <si>
    <t>"+" (přebytek) převod do FPP dle jednotlivých pracovišť</t>
  </si>
  <si>
    <t>Kč</t>
  </si>
  <si>
    <t xml:space="preserve">NIV </t>
  </si>
  <si>
    <t>INV</t>
  </si>
  <si>
    <t>garanti</t>
  </si>
  <si>
    <t>fond podpory kvality</t>
  </si>
  <si>
    <t>Počet garantovaných studijních programů</t>
  </si>
  <si>
    <t>Garant - příjmení (bez titulů)</t>
  </si>
  <si>
    <t>Výše měsíční odměny za garantování 1 studijního programu</t>
  </si>
  <si>
    <t>Výše měsíční odměny</t>
  </si>
  <si>
    <t>SP, ZP za rok</t>
  </si>
  <si>
    <t>Celkové roční náklady</t>
  </si>
  <si>
    <t>Počet měsíců</t>
  </si>
  <si>
    <t>rusistika</t>
  </si>
  <si>
    <t>polonistika</t>
  </si>
  <si>
    <t>rus</t>
  </si>
  <si>
    <t>pol</t>
  </si>
  <si>
    <t>X</t>
  </si>
  <si>
    <t>Pronájem multifunkčního zařízení SHARP</t>
  </si>
  <si>
    <t>Úklid budov "D" a "E" FF OU (snížení nákladů z důvodu rekonstrukce)</t>
  </si>
  <si>
    <t>Scener + software pro studijní oddělení</t>
  </si>
  <si>
    <t>Úprava menzy na studovnu (osvětlení, datové zásuvky, kabeláž, stěhování atd.)</t>
  </si>
  <si>
    <t>Ostatní služby; pronájmy kopírek (studovna, chodby), tisky děkanátu, fakultní brožury, materiál, konferenční popl., cestovné, bannery</t>
  </si>
  <si>
    <t>Nábytek Mlýnská</t>
  </si>
  <si>
    <t>"-" (schodek) čerpání FPP daného pracoviště</t>
  </si>
  <si>
    <t>Schválil: doc. Mgr. Robert Antonín, Ph.D., děkan FF OU</t>
  </si>
  <si>
    <t>odměny za výkon funkce členům AS FF OU</t>
  </si>
  <si>
    <t>9 členů (AP); 1 000 Kč/člen/zasedání; 2 000/předseda/zasedání; studenti hrazeni ze stipendijního fondu;</t>
  </si>
  <si>
    <t>fond personálního rozvoje</t>
  </si>
  <si>
    <t xml:space="preserve">Výše roční odměny </t>
  </si>
  <si>
    <t>RIV</t>
  </si>
  <si>
    <t>Měsíční mzdové nákl.tarifní</t>
  </si>
  <si>
    <t>Materiál studijní oddělení; diplomy…</t>
  </si>
  <si>
    <t>x</t>
  </si>
  <si>
    <t>asistent</t>
  </si>
  <si>
    <t>odborný asistent</t>
  </si>
  <si>
    <t>referent II</t>
  </si>
  <si>
    <t>OA VH / výzkumník II</t>
  </si>
  <si>
    <t>asistent / výzkumník I</t>
  </si>
  <si>
    <t>rererent II</t>
  </si>
  <si>
    <t>referent III / specialista I / manažer I</t>
  </si>
  <si>
    <t>specialista II / manažer II</t>
  </si>
  <si>
    <t>manažer III</t>
  </si>
  <si>
    <t>výkonové příplatky vč. výkonových příplatků vedení</t>
  </si>
  <si>
    <r>
      <t xml:space="preserve">dělník I </t>
    </r>
    <r>
      <rPr>
        <b/>
        <vertAlign val="superscript"/>
        <sz val="7"/>
        <rFont val="Arial"/>
        <family val="2"/>
        <charset val="238"/>
      </rPr>
      <t>1)</t>
    </r>
  </si>
  <si>
    <r>
      <t xml:space="preserve">dělník II </t>
    </r>
    <r>
      <rPr>
        <b/>
        <vertAlign val="superscript"/>
        <sz val="7"/>
        <rFont val="Arial"/>
        <family val="2"/>
        <charset val="238"/>
      </rPr>
      <t>1)</t>
    </r>
  </si>
  <si>
    <r>
      <t xml:space="preserve">3) </t>
    </r>
    <r>
      <rPr>
        <sz val="8"/>
        <rFont val="Arial"/>
        <family val="2"/>
        <charset val="238"/>
      </rPr>
      <t>smluvní mzda a odměny děkana stanoveny rektorem, odměny proděkanů a tajemníka, odměny děkana za celofakultní aktivity a mimořádné úkoly, odměny děkana za RIV, vědeckou činnost, publikace atd.</t>
    </r>
  </si>
  <si>
    <r>
      <t xml:space="preserve">OON </t>
    </r>
    <r>
      <rPr>
        <b/>
        <vertAlign val="superscript"/>
        <sz val="7"/>
        <rFont val="Arial"/>
        <family val="2"/>
        <charset val="238"/>
      </rPr>
      <t>4)</t>
    </r>
  </si>
  <si>
    <t>Rezerva, drobné opravy a havárie</t>
  </si>
  <si>
    <t>Kamery, Wifi, klimatizace (děkanát, PC učebna, tlumočnická učebna) - údržba, desinfekce, údržba nové vzduchotechniky pořízené z ERDF</t>
  </si>
  <si>
    <t>Finance k rozdělení dle ukazatelů</t>
  </si>
  <si>
    <t>Ukazatel</t>
  </si>
  <si>
    <t>Podíl</t>
  </si>
  <si>
    <t>Úspěšně vykované zápočty a zkoušky</t>
  </si>
  <si>
    <t>Počty obhájených VŠKP Bc.</t>
  </si>
  <si>
    <t>Počty obhájených VŠKP NMgr. a rigo</t>
  </si>
  <si>
    <t>Počty obhájených VŠKP Ph.D.</t>
  </si>
  <si>
    <t>Počty studentů do matriky</t>
  </si>
  <si>
    <t>Granty I (GAČR, Horizont, TAČR, NAKI, Aktion atd.)</t>
  </si>
  <si>
    <t>Studium 50%</t>
  </si>
  <si>
    <t>Mobility 10 %</t>
  </si>
  <si>
    <t>Zápočty a zkoušky</t>
  </si>
  <si>
    <t>Bc.</t>
  </si>
  <si>
    <t>Nmgr., rigo</t>
  </si>
  <si>
    <t>Ph.D.</t>
  </si>
  <si>
    <t>Studenti</t>
  </si>
  <si>
    <t>Granty I</t>
  </si>
  <si>
    <t>Granty II</t>
  </si>
  <si>
    <t>Příjezdy prac.</t>
  </si>
  <si>
    <t>pouze studenti imatrikulováni na FF</t>
  </si>
  <si>
    <t>Pozn.</t>
  </si>
  <si>
    <t>Počty studentů FF</t>
  </si>
  <si>
    <t>KCL</t>
  </si>
  <si>
    <t>KCJ</t>
  </si>
  <si>
    <t>KPF</t>
  </si>
  <si>
    <t>KRU</t>
  </si>
  <si>
    <t>KSLA</t>
  </si>
  <si>
    <t>KALENDARNI_ROK</t>
  </si>
  <si>
    <t>KATEDRA</t>
  </si>
  <si>
    <t>ZNAMKY_A-E</t>
  </si>
  <si>
    <t>SLOVNE_S</t>
  </si>
  <si>
    <t>KRS</t>
  </si>
  <si>
    <t>2019</t>
  </si>
  <si>
    <t>TYP_PRACE</t>
  </si>
  <si>
    <t>POCET_OBHAJENYCH_PRACI</t>
  </si>
  <si>
    <t>Disertační práce</t>
  </si>
  <si>
    <t>Bakalářská práce</t>
  </si>
  <si>
    <t>Diplomová práce</t>
  </si>
  <si>
    <t>Rigorózní práce</t>
  </si>
  <si>
    <t>dny</t>
  </si>
  <si>
    <t>Počty studií</t>
  </si>
  <si>
    <t>ks</t>
  </si>
  <si>
    <t>VŠKP</t>
  </si>
  <si>
    <t>Zdroj financování</t>
  </si>
  <si>
    <t>1210/1211</t>
  </si>
  <si>
    <t>Action</t>
  </si>
  <si>
    <t>Spoluřeš.</t>
  </si>
  <si>
    <t>Progr. EU</t>
  </si>
  <si>
    <t>GAČR</t>
  </si>
  <si>
    <t>Zahr.</t>
  </si>
  <si>
    <t>IRP</t>
  </si>
  <si>
    <t>SGS</t>
  </si>
  <si>
    <t>OP VVV</t>
  </si>
  <si>
    <t>Podíl %</t>
  </si>
  <si>
    <t>finance z normativních prostředků podle ukazatele "P" (společenská popt) -  zdroj 1103</t>
  </si>
  <si>
    <t>Den s překladem</t>
  </si>
  <si>
    <t xml:space="preserve">Havarijní fond kamery, havarijní fond čtečky </t>
  </si>
  <si>
    <t>Věda a rozvoj 40 %</t>
  </si>
  <si>
    <t xml:space="preserve">Rozdělení PV a IP </t>
  </si>
  <si>
    <t>(tis.Kč)</t>
  </si>
  <si>
    <t>Základní údaje</t>
  </si>
  <si>
    <t>Zdroj</t>
  </si>
  <si>
    <t>Částka</t>
  </si>
  <si>
    <t>Složka</t>
  </si>
  <si>
    <t>Podíl složek</t>
  </si>
  <si>
    <t>Parametr</t>
  </si>
  <si>
    <t>Váha</t>
  </si>
  <si>
    <t>Příspěvek na vzdělávací činnost (PV)</t>
  </si>
  <si>
    <r>
      <t>PV</t>
    </r>
    <r>
      <rPr>
        <vertAlign val="subscript"/>
        <sz val="10"/>
        <rFont val="Arial"/>
        <family val="2"/>
        <charset val="238"/>
      </rPr>
      <t>a</t>
    </r>
  </si>
  <si>
    <t>Výsledky výzkumu, vývoje a inovací</t>
  </si>
  <si>
    <t>Navýšení příspěvku PV (11/2019 a 12/2019)</t>
  </si>
  <si>
    <r>
      <t>PV</t>
    </r>
    <r>
      <rPr>
        <vertAlign val="subscript"/>
        <sz val="10"/>
        <rFont val="Arial"/>
        <family val="2"/>
        <charset val="238"/>
      </rPr>
      <t>k</t>
    </r>
  </si>
  <si>
    <t>Výsledky umělecké činnosti</t>
  </si>
  <si>
    <t>Podpora společenských priorit LF</t>
  </si>
  <si>
    <r>
      <t>PV=PV</t>
    </r>
    <r>
      <rPr>
        <b/>
        <vertAlign val="subscript"/>
        <sz val="10"/>
        <rFont val="Arial"/>
        <family val="2"/>
        <charset val="238"/>
      </rPr>
      <t>a</t>
    </r>
    <r>
      <rPr>
        <b/>
        <sz val="10"/>
        <rFont val="Arial"/>
        <family val="2"/>
        <charset val="238"/>
      </rPr>
      <t>+PV</t>
    </r>
    <r>
      <rPr>
        <b/>
        <vertAlign val="subscript"/>
        <sz val="10"/>
        <rFont val="Arial"/>
        <family val="2"/>
        <charset val="238"/>
      </rPr>
      <t>k</t>
    </r>
  </si>
  <si>
    <t xml:space="preserve">Externí příjmy VŠ </t>
  </si>
  <si>
    <t>Podpora společenských priorit PdF</t>
  </si>
  <si>
    <t>Studia v cizím jazyce</t>
  </si>
  <si>
    <t>Podpora společenských priorit pedagogické programy</t>
  </si>
  <si>
    <t>Zaměstnanost absolventů</t>
  </si>
  <si>
    <t>Fond umělecké činnosti (FUČ)</t>
  </si>
  <si>
    <t>Podíl cizinců</t>
  </si>
  <si>
    <t>Institucionální podpora (IP)</t>
  </si>
  <si>
    <t>Vyslaní a přijatí studenti v rámci mobilitních programů</t>
  </si>
  <si>
    <t>Graduation rate</t>
  </si>
  <si>
    <t>Rozdělení</t>
  </si>
  <si>
    <t>Část příspěvku na</t>
  </si>
  <si>
    <t>Podpora</t>
  </si>
  <si>
    <t>Fond</t>
  </si>
  <si>
    <t>Finance z</t>
  </si>
  <si>
    <t>PRIORITY 1</t>
  </si>
  <si>
    <t xml:space="preserve">Odpisy </t>
  </si>
  <si>
    <t>Odpisy</t>
  </si>
  <si>
    <t>Rok 2020</t>
  </si>
  <si>
    <t xml:space="preserve"> vzdělávací </t>
  </si>
  <si>
    <t>společenských</t>
  </si>
  <si>
    <t>umělecké</t>
  </si>
  <si>
    <t>institucionální</t>
  </si>
  <si>
    <t>celkem</t>
  </si>
  <si>
    <t>fakult dle</t>
  </si>
  <si>
    <t>celouniverzitní</t>
  </si>
  <si>
    <t>financí</t>
  </si>
  <si>
    <t>rozpočtu</t>
  </si>
  <si>
    <t>NIV</t>
  </si>
  <si>
    <t>činnosti</t>
  </si>
  <si>
    <t>priorit</t>
  </si>
  <si>
    <t>podpory</t>
  </si>
  <si>
    <t>přístrojového</t>
  </si>
  <si>
    <t>(budovy)</t>
  </si>
  <si>
    <t>proti roku</t>
  </si>
  <si>
    <t>(v tis. Kč)</t>
  </si>
  <si>
    <r>
      <t>Pv</t>
    </r>
    <r>
      <rPr>
        <b/>
        <vertAlign val="subscript"/>
        <sz val="8"/>
        <rFont val="Arial"/>
        <family val="2"/>
        <charset val="238"/>
      </rPr>
      <t>a</t>
    </r>
  </si>
  <si>
    <r>
      <t>PV</t>
    </r>
    <r>
      <rPr>
        <b/>
        <vertAlign val="subscript"/>
        <sz val="8"/>
        <rFont val="Arial"/>
        <family val="2"/>
        <charset val="238"/>
      </rPr>
      <t>k</t>
    </r>
  </si>
  <si>
    <t>vybavení</t>
  </si>
  <si>
    <t>v tis. Kč</t>
  </si>
  <si>
    <t>11 LF</t>
  </si>
  <si>
    <t>20 FSS</t>
  </si>
  <si>
    <t>25 FF</t>
  </si>
  <si>
    <t>31 PřF</t>
  </si>
  <si>
    <t>45 PdF</t>
  </si>
  <si>
    <t>50 FU</t>
  </si>
  <si>
    <t>94 CE IT4I</t>
  </si>
  <si>
    <t>90 Fond na podporu excelentního výzkumu</t>
  </si>
  <si>
    <t>90,91,92 Priority I - služby</t>
  </si>
  <si>
    <t>90 Priority I - celouniverzitní</t>
  </si>
  <si>
    <t>Spoluúčast na OP VVV</t>
  </si>
  <si>
    <t>Stanovení podílu součástí OU na části příspěvku na vzdělávací činnost</t>
  </si>
  <si>
    <t>Součást OU</t>
  </si>
  <si>
    <t xml:space="preserve">Podíl na </t>
  </si>
  <si>
    <t>Část příspěvku</t>
  </si>
  <si>
    <t>Korekce příspěvku</t>
  </si>
  <si>
    <t>normativních</t>
  </si>
  <si>
    <t xml:space="preserve"> na vzdělávací </t>
  </si>
  <si>
    <t>prostředcích</t>
  </si>
  <si>
    <t>podle</t>
  </si>
  <si>
    <t>uk. A+K r.2015 (v %)</t>
  </si>
  <si>
    <t>viz list garantovaná místa</t>
  </si>
  <si>
    <t>čerpání 2021 z FPP 2020</t>
  </si>
  <si>
    <t>čerpání 2022 z FPP 2020</t>
  </si>
  <si>
    <t>Zůstatek FPP 2020 - převod do FRIM FF OU v roce 2023</t>
  </si>
  <si>
    <t>Výstupy do RIV x publikující</t>
  </si>
  <si>
    <t>H17</t>
  </si>
  <si>
    <t>H18</t>
  </si>
  <si>
    <t>H19</t>
  </si>
  <si>
    <t>% publ</t>
  </si>
  <si>
    <t>VIV</t>
  </si>
  <si>
    <t>M2</t>
  </si>
  <si>
    <t>M1</t>
  </si>
  <si>
    <t>H20</t>
  </si>
  <si>
    <t>H21</t>
  </si>
  <si>
    <t>vše FF</t>
  </si>
  <si>
    <t>"body"</t>
  </si>
  <si>
    <t>Modul 1</t>
  </si>
  <si>
    <t>Modul 2</t>
  </si>
  <si>
    <t>Modul 3</t>
  </si>
  <si>
    <t>Granty II (IRP, SGS, DGC, SMO, MSK atd.)</t>
  </si>
  <si>
    <t>Výstupy do RIV, publikující</t>
  </si>
  <si>
    <t>publikující</t>
  </si>
  <si>
    <t>NAKI, TAČR</t>
  </si>
  <si>
    <t>Navýšení příspěvku PV (12/2020)</t>
  </si>
  <si>
    <t>Publikující akademici</t>
  </si>
  <si>
    <t xml:space="preserve">Podpora minoritních pedagogických kombinací </t>
  </si>
  <si>
    <t>Rok 2021</t>
  </si>
  <si>
    <t>(%)</t>
  </si>
  <si>
    <t>(tis. Kč)</t>
  </si>
  <si>
    <t>v roce 2021</t>
  </si>
  <si>
    <t>finance z institucionální podpory  "IP" (DKRVO) - zdroj 1650</t>
  </si>
  <si>
    <r>
      <t xml:space="preserve">mzdové náklady děkanátu, </t>
    </r>
    <r>
      <rPr>
        <strike/>
        <sz val="8"/>
        <rFont val="Arial"/>
        <family val="2"/>
        <charset val="238"/>
      </rPr>
      <t>včetně odměn za RIV</t>
    </r>
    <r>
      <rPr>
        <sz val="8"/>
        <rFont val="Arial"/>
        <family val="2"/>
        <charset val="238"/>
      </rPr>
      <t>, OON a fondu děkana</t>
    </r>
  </si>
  <si>
    <t>FPP 2020</t>
  </si>
  <si>
    <t>FPP 2021</t>
  </si>
  <si>
    <t>čerpání 2022 z FPP 2021</t>
  </si>
  <si>
    <t>čerpání 2023 z FPP 2021</t>
  </si>
  <si>
    <t>Zůstatek FPP 2021 - převod do FRIM FF OU v roce 2024</t>
  </si>
  <si>
    <t>Mzdové náklady 2022 vč. SP, ZP.</t>
  </si>
  <si>
    <t>Nákup software a programů do nových PC (studovna, učebny, grafika, zaměstnanci)</t>
  </si>
  <si>
    <t>Student OFF/studentská místnost</t>
  </si>
  <si>
    <t>Spoluúčast na celofakultních a celouniverzitních projektech</t>
  </si>
  <si>
    <t>Telefony, mobilní internety</t>
  </si>
  <si>
    <t>odměny a OON za ukazatel "P" (bývalý fond F)</t>
  </si>
  <si>
    <t>(1.1.2021 až 31.12.2021)</t>
  </si>
  <si>
    <t>M3 "body"</t>
  </si>
  <si>
    <t>Počty studentů FF do matriky k 31. 10. 2021</t>
  </si>
  <si>
    <t>1733 (mínus 15,5 v kombinacích s PřF) včetně 9 samoplátců (vše KAA), odvedeni do matriky, ale nefinancováni z MŠMT</t>
  </si>
  <si>
    <r>
      <t xml:space="preserve">studenti SP </t>
    </r>
    <r>
      <rPr>
        <i/>
        <sz val="8"/>
        <rFont val="Arial"/>
        <family val="2"/>
        <charset val="238"/>
      </rPr>
      <t>Český jazyk a literatura</t>
    </r>
    <r>
      <rPr>
        <sz val="8"/>
        <rFont val="Arial"/>
        <family val="2"/>
        <charset val="238"/>
      </rPr>
      <t xml:space="preserve"> a SP </t>
    </r>
    <r>
      <rPr>
        <i/>
        <sz val="8"/>
        <rFont val="Arial"/>
        <family val="2"/>
        <charset val="238"/>
      </rPr>
      <t>Učitelství pro SŠ - český jazyk a literatura</t>
    </r>
    <r>
      <rPr>
        <sz val="8"/>
        <rFont val="Arial"/>
        <family val="2"/>
        <charset val="238"/>
      </rPr>
      <t xml:space="preserve"> děleni na půl</t>
    </r>
  </si>
  <si>
    <t xml:space="preserve">sdružené studium (+ dobíhající staré akreditace dvouoborové) - studenti započítání jen 0,5 na každou katedru </t>
  </si>
  <si>
    <t>(do celkového počtu chybí započíst "půl" studenty v kombinacích s PřF)</t>
  </si>
  <si>
    <t>2021</t>
  </si>
  <si>
    <t>Interreg</t>
  </si>
  <si>
    <t>1310/1311</t>
  </si>
  <si>
    <t>Finanční prostředky 2022</t>
  </si>
  <si>
    <t>Mgr. at Mgr. Jan Beneš, Ph.D., předseda Akademického senátu FF OU</t>
  </si>
  <si>
    <t>Navýšení příspěvku PV (12/2021)</t>
  </si>
  <si>
    <t>Rok 2022</t>
  </si>
  <si>
    <t>Fond strategického rozvoje</t>
  </si>
  <si>
    <t>pozn. návrh na přebarvení na investice na podporu celouniverzitních aktivit FRIM</t>
  </si>
  <si>
    <t>Sankce mezifakultní výuky</t>
  </si>
  <si>
    <t>Sankce studenti, KEN</t>
  </si>
  <si>
    <t>Finální příspěvek na vzdělávací činnosti Pva 2022</t>
  </si>
  <si>
    <t>uk. A+K r.2022 (v %)</t>
  </si>
  <si>
    <t>Celkem přiděleno z OU NIV prostředků (před odpočtem Priorit 1)</t>
  </si>
  <si>
    <t>MSK, SMO</t>
  </si>
  <si>
    <t>Fond provozních prostředků k 31.12.2022</t>
  </si>
  <si>
    <t>Rozpočet 2022</t>
  </si>
  <si>
    <t>Čerpání 2022</t>
  </si>
  <si>
    <t>Zůstatek 2022</t>
  </si>
  <si>
    <t>FPP 2022</t>
  </si>
  <si>
    <t>čerpání 2023 z FPP 2022</t>
  </si>
  <si>
    <t>čerpání 2024 z FPP 2022</t>
  </si>
  <si>
    <t>Zůstatek FPP 2023 - převod do FRIM FF OU v roce 2025</t>
  </si>
  <si>
    <t>Celkový FPP                  k 31. 12. 2022</t>
  </si>
  <si>
    <t>Zůstatek k převodu do FPP 2022 dle IS Magion (25*/ 1100+1103+1650) v Kč</t>
  </si>
  <si>
    <t>Navýšení příspěvku PV (12/2022)</t>
  </si>
  <si>
    <t>Příspěvek na pokrytí zvýšených nákladů na energie</t>
  </si>
  <si>
    <t>Příspěvek</t>
  </si>
  <si>
    <t>Rok 2023</t>
  </si>
  <si>
    <t>na pokrytí</t>
  </si>
  <si>
    <t>energií</t>
  </si>
  <si>
    <t>90 - Priority I - provoz budov R, UK, CIT</t>
  </si>
  <si>
    <t>Provozní náklady FF OU 2023</t>
  </si>
  <si>
    <t>Rozpis oprav na budovách FF OU pro rok 2023</t>
  </si>
  <si>
    <t>Počet garantů pro rozdělení finančních prostředků FF OU pro rok 2023</t>
  </si>
  <si>
    <t>změna tarifů o:</t>
  </si>
  <si>
    <t>nové tarify od 6/2023 (7 měsíců)</t>
  </si>
  <si>
    <r>
      <t xml:space="preserve">1) </t>
    </r>
    <r>
      <rPr>
        <sz val="8"/>
        <rFont val="Arial"/>
        <family val="2"/>
        <charset val="238"/>
      </rPr>
      <t>2x šatna, 3x vrátnice, 2x údržba</t>
    </r>
  </si>
  <si>
    <t xml:space="preserve">změny: mínus 1x vrátnice, převod referenta II na referenta III, navýšení 0,5 referenta II na studijní odd., </t>
  </si>
  <si>
    <t>Mzdové náklady 2023 vč. SP, ZP.</t>
  </si>
  <si>
    <t>změna v % 2023/2022</t>
  </si>
  <si>
    <t>navýšení mzdových nákladů od 6/2023 do 12/2023 (7 měsíců)</t>
  </si>
  <si>
    <t>v roce 2024 opravit 2 vzorce na celý rok</t>
  </si>
  <si>
    <t>v roce 2024 opravit vzorec na celý rok + navýšit lektora na 2</t>
  </si>
  <si>
    <t>Garantovaná financovaná pracovní místa akademických pracovníků od roku 2023</t>
  </si>
  <si>
    <t>Celkem v Kč po navýšení</t>
  </si>
  <si>
    <t>příspěvek na pokrytí energií</t>
  </si>
  <si>
    <t>800 tis. Kč z FPP (celkem 1 028 000 Kč)</t>
  </si>
  <si>
    <t>800 tis. Kč z FPP (celkem 1 348 000 Kč)</t>
  </si>
  <si>
    <t>viz list garanti 2 200 000 Kč, bude hrazeno z FPP</t>
  </si>
  <si>
    <t>dle IS Magion 3 000 000 Kč, bude hrazeno z FPP</t>
  </si>
  <si>
    <t>2023 - 2022</t>
  </si>
  <si>
    <t>Finanční prostředky 2023</t>
  </si>
  <si>
    <t>Změna v Kč oproti roku 2022</t>
  </si>
  <si>
    <t>Změna v % oproti roku 2022</t>
  </si>
  <si>
    <t>Rozdělení financí FF OU 2023</t>
  </si>
  <si>
    <t>Rozpis P2 a nákladů na provoz fakulty a děkanátu FF OU na rok 2023</t>
  </si>
  <si>
    <t>Finanční  prostředky schválené senátem OU pro FF na rok 2023</t>
  </si>
  <si>
    <t>financování Priority 2 - služby rektorát - odhad na 2023</t>
  </si>
  <si>
    <t>financování Priority 2 - služby UK - odhad na 2023</t>
  </si>
  <si>
    <t>financování Priority 2 - služby CIT - odhad na 2023</t>
  </si>
  <si>
    <t>viz list garantovaná místa; v roce 2023 hrazeny odměny za Metodiku 17+ z FPP</t>
  </si>
  <si>
    <t>Tabulka A - neinvestiční a investiční prostředky pro rok 2023</t>
  </si>
  <si>
    <t>Schválené rozdělení financí Senátem OU pro FF 2023</t>
  </si>
  <si>
    <t>financování Priorit 2 - služby rektorát - odhad na 2023</t>
  </si>
  <si>
    <t>financování Priorit 2 - služby UK - odhad na 2023</t>
  </si>
  <si>
    <t>Finanční prostředky pro FF na rok 2023 po odečtu Priorit 2</t>
  </si>
  <si>
    <t>Finanční prostředky pro pracoviště FF OU na rok 2023</t>
  </si>
  <si>
    <t>Návrh děkana Filozofické fakulty OU na rozdělení příspěvku z prostředků MŠMT na rok 2023</t>
  </si>
  <si>
    <t xml:space="preserve">Děkan Filozofické fakulty OU předkládá Senátu FF OU, v souladu s Metodikou rozpočtu FF OU, návrh rozdělení finančních prostředků na rok 2023, který bude projednáván na zasedání AS FF OU dne  8. 6. 2023. </t>
  </si>
  <si>
    <t>FF OU může svou činnost plánovat v rozsahu níže uvedených neinvestičních a investičních finančních prostředků. Z příspěvku za ukazatel "A" obdržela  83.470 tis. Kč, za ukazeatel "K" 28.160 tis. Kč, ukazatel "P" 1.586tis. Kč  a ukazatel "DKRVO" 33.442 tis. Kč. Příspěvek na pokrytí energií činil 2.250 tis. Kč. Po odečtení podílu na celouniverzitním financování Priorit 1, který je ve výši 24.669 tis. Kč, odpisů dle přístrojového vybavení ve výši 2 tis. Kč a odpisů budov ve výši 1.586 tis. Kč byla dne 15. 5. 2023 AS OU schválena pro FF OU částka 122.651 tis. Kč.</t>
  </si>
  <si>
    <r>
      <t xml:space="preserve">Na financování Priorit 2 bude na základě dohody o převodu finančních prostředků převedeno na služby zajišťované rektorátem </t>
    </r>
    <r>
      <rPr>
        <b/>
        <sz val="8"/>
        <rFont val="Arial"/>
        <family val="2"/>
        <charset val="238"/>
      </rPr>
      <t>5.180 tis. Kč</t>
    </r>
    <r>
      <rPr>
        <sz val="8"/>
        <rFont val="Arial"/>
        <family val="2"/>
        <charset val="238"/>
      </rPr>
      <t xml:space="preserve">, služby zajišťované </t>
    </r>
    <r>
      <rPr>
        <b/>
        <sz val="8"/>
        <rFont val="Arial"/>
        <family val="2"/>
        <charset val="238"/>
      </rPr>
      <t>UK 1.028 tis. Kč (přičemž 800 tis. Kč bude uhrazeno z FPP)</t>
    </r>
    <r>
      <rPr>
        <sz val="8"/>
        <rFont val="Arial"/>
        <family val="2"/>
        <charset val="238"/>
      </rPr>
      <t xml:space="preserve"> a služby zajištované </t>
    </r>
    <r>
      <rPr>
        <b/>
        <sz val="8"/>
        <rFont val="Arial"/>
        <family val="2"/>
        <charset val="238"/>
      </rPr>
      <t>CIT 1.348 tis. Kč (přičemž 800 tis. Kč bude uhrazeno z FPP)</t>
    </r>
    <r>
      <rPr>
        <sz val="8"/>
        <rFont val="Arial"/>
        <family val="2"/>
        <charset val="238"/>
      </rPr>
      <t xml:space="preserve">. Po odečtení Priorit 2 zbývá z příspěvku MŠMT na činnost FF OU </t>
    </r>
    <r>
      <rPr>
        <b/>
        <sz val="8"/>
        <rFont val="Arial"/>
        <family val="2"/>
        <charset val="238"/>
      </rPr>
      <t>116.695 tis. Kč.</t>
    </r>
    <r>
      <rPr>
        <sz val="8"/>
        <rFont val="Arial"/>
        <family val="2"/>
        <charset val="238"/>
      </rPr>
      <t xml:space="preserve">   </t>
    </r>
  </si>
  <si>
    <t xml:space="preserve">Finanční prostředky, které pracoviště nevyčerpaly/přečerpaly v roce 2022 budou převedeny do fondu provozních prostředků, resp. čerpány z FPP předchozích let (interně evidovány tak, jak na jednotlivých pracovištích vznikly).  </t>
  </si>
  <si>
    <t>Ukazatel "F" (U3V) se rozděluje přímo pracovištím, která se na U3V podílela. Pro rok 2023 nebyly finance v rámci ukazatele "F" pro FF OU přiděleny.</t>
  </si>
  <si>
    <t>V Ostravě dne 22. května 2023</t>
  </si>
  <si>
    <t>Schváleno AS FF OU dne x. x. 2023.</t>
  </si>
  <si>
    <t>600 000 Kč, bude hrazeno z FPP</t>
  </si>
  <si>
    <t>2021+2022</t>
  </si>
  <si>
    <t>2022</t>
  </si>
  <si>
    <t>Počty studentů FF do matriky k 31. 10. 2022</t>
  </si>
  <si>
    <t>Podklad pro rozdělení finančních prostředků 2023 - počty studentů do matriky</t>
  </si>
  <si>
    <r>
      <rPr>
        <b/>
        <sz val="8"/>
        <rFont val="Arial"/>
        <family val="2"/>
        <charset val="238"/>
      </rPr>
      <t>K 31.10.2022 evidováno celkem 1823</t>
    </r>
    <r>
      <rPr>
        <sz val="8"/>
        <rFont val="Arial"/>
        <family val="2"/>
        <charset val="238"/>
      </rPr>
      <t xml:space="preserve"> (mínus 23,5 v kombinacích s PřF) včetně 11 samoplátců (vše KAA) odvedených do matriky, ale nefinancováni z MŠMT</t>
    </r>
  </si>
  <si>
    <t>Podklad pro rozdělení finančních prostředků 2023 - mobility</t>
  </si>
  <si>
    <t>"K" - Erasmus+; výjezdy studentů FF 2022 pro finance 2023</t>
  </si>
  <si>
    <t>"K" - Erasmus+; příjezdy studentů na FF 2022 pro finance 2023</t>
  </si>
  <si>
    <t>"K" - Erasmus příjezdy ciznců na FF 2022 pro finance 2023</t>
  </si>
  <si>
    <t>(1.1.2022 až 31.12.2022)</t>
  </si>
  <si>
    <t>Výstupy do RIV pro rozdělení finančních prostředků 2023</t>
  </si>
  <si>
    <t>Modul 1 pro rozdělení finančních prostředků 2023</t>
  </si>
  <si>
    <t>Modul 2 pro rozdělení finančních prostředků 2023</t>
  </si>
  <si>
    <t>Modul 3 pro rozdělení finančních prostředků 2023</t>
  </si>
  <si>
    <t>Granty I pro rozdělení finančních prostředků na rok 2023</t>
  </si>
  <si>
    <t>Souhrn 2020-2022</t>
  </si>
  <si>
    <t>Granty II pro rozdělení finančních prostředků na rok 2023</t>
  </si>
  <si>
    <t>IT technika děkanát + dataprojektory do učeben + skartovačka studijní</t>
  </si>
  <si>
    <t>2 300 000 Kč, bude hrazeno z FPP</t>
  </si>
  <si>
    <t>Výjezdy studentů FF 2021 pro finance 2023</t>
  </si>
  <si>
    <t>Příjezdy studentů na FF 2021 pro finance 2023</t>
  </si>
  <si>
    <t>Příjezdy ciznců na FF 2021 pro finance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</si>
</sst>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0\ &quot;Kč&quot;;\-#,##0\ &quot;Kč&quot;"/>
    <numFmt numFmtId="6" formatCode="#,##0\ &quot;Kč&quot;;[Red]\-#,##0\ &quot;Kč&quot;"/>
    <numFmt numFmtId="42" formatCode="_-* #,##0\ &quot;Kč&quot;_-;\-* #,##0\ &quot;Kč&quot;_-;_-* &quot;-&quot;\ &quot;Kč&quot;_-;_-@_-"/>
    <numFmt numFmtId="43" formatCode="_-* #,##0.00\ _K_č_-;\-* #,##0.00\ _K_č_-;_-* &quot;-&quot;??\ _K_č_-;_-@_-"/>
    <numFmt numFmtId="164" formatCode="#,##0_ ;[Red]\-#,##0\ "/>
    <numFmt numFmtId="165" formatCode="#,##0.0"/>
    <numFmt numFmtId="166" formatCode="0.0"/>
    <numFmt numFmtId="167" formatCode="#,##0\ &quot;Kč&quot;"/>
    <numFmt numFmtId="168" formatCode="0.0%"/>
    <numFmt numFmtId="169" formatCode="0.000"/>
    <numFmt numFmtId="170" formatCode="_-* #,##0\ _K_č_-;\-* #,##0\ _K_č_-;_-* &quot;-&quot;??\ _K_č_-;_-@_-"/>
    <numFmt numFmtId="171" formatCode="#,##0.000"/>
    <numFmt numFmtId="172" formatCode="_-* #,##0.0000\ _K_č_-;\-* #,##0.0000\ _K_č_-;_-* &quot;-&quot;??\ _K_č_-;_-@_-"/>
    <numFmt numFmtId="173" formatCode="#,##0.00\ _K_č"/>
  </numFmts>
  <fonts count="82" x14ac:knownFonts="1">
    <font>
      <sz val="10"/>
      <name val="Arial"/>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8"/>
      <name val="Arial"/>
      <family val="2"/>
      <charset val="238"/>
    </font>
    <font>
      <b/>
      <sz val="8"/>
      <color rgb="FFFF0000"/>
      <name val="Arial"/>
      <family val="2"/>
      <charset val="238"/>
    </font>
    <font>
      <i/>
      <sz val="8"/>
      <name val="Arial"/>
      <family val="2"/>
      <charset val="238"/>
    </font>
    <font>
      <b/>
      <i/>
      <sz val="8"/>
      <name val="Arial"/>
      <family val="2"/>
      <charset val="238"/>
    </font>
    <font>
      <b/>
      <sz val="12"/>
      <name val="Arial CE"/>
      <family val="2"/>
      <charset val="238"/>
    </font>
    <font>
      <b/>
      <sz val="10"/>
      <name val="Arial"/>
      <family val="2"/>
      <charset val="238"/>
    </font>
    <font>
      <sz val="11"/>
      <name val="Arial"/>
      <family val="2"/>
      <charset val="238"/>
    </font>
    <font>
      <b/>
      <sz val="9"/>
      <name val="Arial"/>
      <family val="2"/>
      <charset val="238"/>
    </font>
    <font>
      <sz val="9"/>
      <name val="Arial"/>
      <family val="2"/>
      <charset val="238"/>
    </font>
    <font>
      <sz val="11"/>
      <color indexed="8"/>
      <name val="Calibri"/>
      <family val="2"/>
      <charset val="238"/>
    </font>
    <font>
      <sz val="10"/>
      <color indexed="72"/>
      <name val="MS Sans Serif"/>
      <family val="2"/>
      <charset val="238"/>
    </font>
    <font>
      <sz val="7"/>
      <name val="Arial"/>
      <family val="2"/>
      <charset val="238"/>
    </font>
    <font>
      <b/>
      <sz val="7"/>
      <name val="Arial"/>
      <family val="2"/>
      <charset val="238"/>
    </font>
    <font>
      <vertAlign val="superscript"/>
      <sz val="8"/>
      <name val="Arial"/>
      <family val="2"/>
      <charset val="238"/>
    </font>
    <font>
      <b/>
      <sz val="9"/>
      <color theme="1"/>
      <name val="Arial"/>
      <family val="2"/>
      <charset val="238"/>
    </font>
    <font>
      <sz val="9"/>
      <color theme="1"/>
      <name val="Arial"/>
      <family val="2"/>
      <charset val="238"/>
    </font>
    <font>
      <sz val="10"/>
      <name val="Arial"/>
      <family val="2"/>
      <charset val="238"/>
    </font>
    <font>
      <b/>
      <sz val="8"/>
      <name val="Arial CE"/>
      <family val="2"/>
      <charset val="238"/>
    </font>
    <font>
      <sz val="8"/>
      <color theme="1"/>
      <name val="Arial"/>
      <family val="2"/>
      <charset val="238"/>
    </font>
    <font>
      <sz val="8.5"/>
      <name val="Arial"/>
      <family val="2"/>
      <charset val="238"/>
    </font>
    <font>
      <b/>
      <sz val="8.5"/>
      <name val="Arial CE"/>
      <family val="2"/>
      <charset val="238"/>
    </font>
    <font>
      <sz val="8"/>
      <color indexed="9"/>
      <name val="Arial"/>
      <family val="2"/>
      <charset val="238"/>
    </font>
    <font>
      <b/>
      <sz val="8"/>
      <color indexed="9"/>
      <name val="Arial"/>
      <family val="2"/>
      <charset val="238"/>
    </font>
    <font>
      <b/>
      <sz val="11"/>
      <name val="Arial CE"/>
      <family val="2"/>
      <charset val="238"/>
    </font>
    <font>
      <sz val="8"/>
      <name val="Arial CE"/>
      <charset val="238"/>
    </font>
    <font>
      <sz val="8"/>
      <color indexed="10"/>
      <name val="Arial"/>
      <family val="2"/>
      <charset val="238"/>
    </font>
    <font>
      <b/>
      <sz val="11"/>
      <name val="Arial"/>
      <family val="2"/>
      <charset val="238"/>
    </font>
    <font>
      <b/>
      <sz val="11"/>
      <color theme="1"/>
      <name val="Arial"/>
      <family val="2"/>
      <charset val="238"/>
    </font>
    <font>
      <b/>
      <sz val="8"/>
      <color theme="1"/>
      <name val="Arial"/>
      <family val="2"/>
      <charset val="238"/>
    </font>
    <font>
      <b/>
      <vertAlign val="superscript"/>
      <sz val="7"/>
      <name val="Arial"/>
      <family val="2"/>
      <charset val="238"/>
    </font>
    <font>
      <b/>
      <sz val="7"/>
      <color theme="1"/>
      <name val="Arial"/>
      <family val="2"/>
      <charset val="238"/>
    </font>
    <font>
      <i/>
      <sz val="7"/>
      <name val="Arial"/>
      <family val="2"/>
      <charset val="238"/>
    </font>
    <font>
      <i/>
      <sz val="10"/>
      <name val="Arial"/>
      <family val="2"/>
      <charset val="238"/>
    </font>
    <font>
      <b/>
      <i/>
      <sz val="10"/>
      <name val="Arial"/>
      <family val="2"/>
      <charset val="238"/>
    </font>
    <font>
      <sz val="10"/>
      <name val="Arial"/>
      <family val="2"/>
      <charset val="238"/>
    </font>
    <font>
      <b/>
      <sz val="10"/>
      <color rgb="FFFF0000"/>
      <name val="Arial"/>
      <family val="2"/>
      <charset val="238"/>
    </font>
    <font>
      <sz val="9"/>
      <color indexed="81"/>
      <name val="Tahoma"/>
      <family val="2"/>
      <charset val="238"/>
    </font>
    <font>
      <i/>
      <sz val="8"/>
      <color theme="1"/>
      <name val="Arial"/>
      <family val="2"/>
      <charset val="238"/>
    </font>
    <font>
      <sz val="7"/>
      <color theme="1"/>
      <name val="Arial"/>
      <family val="2"/>
      <charset val="238"/>
    </font>
    <font>
      <b/>
      <sz val="9"/>
      <color indexed="81"/>
      <name val="Tahoma"/>
      <family val="2"/>
      <charset val="238"/>
    </font>
    <font>
      <b/>
      <sz val="11"/>
      <color theme="1"/>
      <name val="Calibri"/>
      <family val="2"/>
      <charset val="238"/>
      <scheme val="minor"/>
    </font>
    <font>
      <b/>
      <sz val="8.5"/>
      <name val="Arial"/>
      <family val="2"/>
      <charset val="238"/>
    </font>
    <font>
      <b/>
      <sz val="10"/>
      <color theme="1"/>
      <name val="Calibri"/>
      <family val="2"/>
      <charset val="238"/>
      <scheme val="minor"/>
    </font>
    <font>
      <b/>
      <sz val="12"/>
      <color theme="1"/>
      <name val="Calibri"/>
      <family val="2"/>
      <charset val="238"/>
      <scheme val="minor"/>
    </font>
    <font>
      <i/>
      <sz val="11"/>
      <color theme="1"/>
      <name val="Calibri"/>
      <family val="2"/>
      <charset val="238"/>
      <scheme val="minor"/>
    </font>
    <font>
      <b/>
      <sz val="12"/>
      <name val="Arial"/>
      <family val="2"/>
      <charset val="238"/>
    </font>
    <font>
      <sz val="10"/>
      <color theme="1"/>
      <name val="Arial"/>
      <family val="2"/>
      <charset val="238"/>
    </font>
    <font>
      <b/>
      <sz val="20"/>
      <name val="Arial"/>
      <family val="2"/>
      <charset val="238"/>
    </font>
    <font>
      <vertAlign val="subscript"/>
      <sz val="10"/>
      <name val="Arial"/>
      <family val="2"/>
      <charset val="238"/>
    </font>
    <font>
      <b/>
      <sz val="10"/>
      <color theme="1"/>
      <name val="Arial"/>
      <family val="2"/>
      <charset val="238"/>
    </font>
    <font>
      <b/>
      <vertAlign val="subscript"/>
      <sz val="10"/>
      <name val="Arial"/>
      <family val="2"/>
      <charset val="238"/>
    </font>
    <font>
      <sz val="10"/>
      <color rgb="FFFF0000"/>
      <name val="Arial"/>
      <family val="2"/>
      <charset val="238"/>
    </font>
    <font>
      <b/>
      <vertAlign val="subscript"/>
      <sz val="8"/>
      <name val="Arial"/>
      <family val="2"/>
      <charset val="238"/>
    </font>
    <font>
      <sz val="10"/>
      <color indexed="8"/>
      <name val="Arial"/>
      <family val="2"/>
      <charset val="238"/>
    </font>
    <font>
      <sz val="11"/>
      <name val="Calibri"/>
      <family val="2"/>
      <charset val="238"/>
      <scheme val="minor"/>
    </font>
    <font>
      <b/>
      <i/>
      <sz val="8"/>
      <color theme="1"/>
      <name val="Calibri"/>
      <family val="2"/>
      <charset val="238"/>
      <scheme val="minor"/>
    </font>
    <font>
      <b/>
      <sz val="8"/>
      <color theme="1"/>
      <name val="Calibri"/>
      <family val="2"/>
      <charset val="238"/>
      <scheme val="minor"/>
    </font>
    <font>
      <sz val="8"/>
      <color rgb="FFFF0000"/>
      <name val="Arial"/>
      <family val="2"/>
      <charset val="238"/>
    </font>
    <font>
      <b/>
      <i/>
      <sz val="8"/>
      <color theme="1"/>
      <name val="Arial"/>
      <family val="2"/>
      <charset val="238"/>
    </font>
    <font>
      <b/>
      <i/>
      <sz val="8"/>
      <color rgb="FFFF0000"/>
      <name val="Arial"/>
      <family val="2"/>
      <charset val="238"/>
    </font>
    <font>
      <sz val="8"/>
      <name val="Calibri"/>
      <family val="2"/>
      <charset val="238"/>
      <scheme val="minor"/>
    </font>
    <font>
      <strike/>
      <sz val="8"/>
      <name val="Arial"/>
      <family val="2"/>
      <charset val="238"/>
    </font>
    <font>
      <sz val="10"/>
      <name val="Arial"/>
      <family val="2"/>
      <charset val="238"/>
    </font>
    <font>
      <sz val="8"/>
      <color indexed="81"/>
      <name val="Tahoma"/>
      <family val="2"/>
      <charset val="238"/>
    </font>
    <font>
      <sz val="7"/>
      <color rgb="FFFF0000"/>
      <name val="Arial"/>
      <family val="2"/>
      <charset val="238"/>
    </font>
    <font>
      <b/>
      <sz val="8"/>
      <color indexed="81"/>
      <name val="Tahoma"/>
      <family val="2"/>
      <charset val="238"/>
    </font>
    <font>
      <sz val="10"/>
      <name val="Arial"/>
      <family val="2"/>
      <charset val="238"/>
    </font>
    <font>
      <i/>
      <sz val="8"/>
      <color theme="0"/>
      <name val="Arial"/>
      <family val="2"/>
      <charset val="238"/>
    </font>
    <font>
      <sz val="8"/>
      <color theme="0"/>
      <name val="Arial"/>
      <family val="2"/>
      <charset val="238"/>
    </font>
    <font>
      <b/>
      <sz val="8"/>
      <color theme="0"/>
      <name val="Arial"/>
      <family val="2"/>
      <charset val="238"/>
    </font>
    <font>
      <sz val="7"/>
      <color theme="0"/>
      <name val="Arial"/>
      <family val="2"/>
      <charset val="238"/>
    </font>
  </fonts>
  <fills count="22">
    <fill>
      <patternFill patternType="none"/>
    </fill>
    <fill>
      <patternFill patternType="gray125"/>
    </fill>
    <fill>
      <patternFill patternType="solid">
        <fgColor rgb="FFCCFFCC"/>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99"/>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79998168889431442"/>
        <bgColor indexed="65"/>
      </patternFill>
    </fill>
    <fill>
      <patternFill patternType="solid">
        <fgColor rgb="FFFFC000"/>
        <bgColor indexed="64"/>
      </patternFill>
    </fill>
    <fill>
      <patternFill patternType="solid">
        <fgColor theme="5" tint="0.59999389629810485"/>
        <bgColor indexed="64"/>
      </patternFill>
    </fill>
    <fill>
      <patternFill patternType="solid">
        <fgColor indexed="41"/>
        <bgColor indexed="64"/>
      </patternFill>
    </fill>
    <fill>
      <patternFill patternType="solid">
        <fgColor theme="7" tint="0.79998168889431442"/>
        <bgColor indexed="64"/>
      </patternFill>
    </fill>
    <fill>
      <patternFill patternType="solid">
        <fgColor indexed="47"/>
        <bgColor indexed="64"/>
      </patternFill>
    </fill>
    <fill>
      <patternFill patternType="solid">
        <fgColor indexed="13"/>
        <bgColor indexed="64"/>
      </patternFill>
    </fill>
    <fill>
      <patternFill patternType="solid">
        <fgColor indexed="26"/>
        <bgColor indexed="64"/>
      </patternFill>
    </fill>
    <fill>
      <patternFill patternType="solid">
        <fgColor rgb="FFFFCC99"/>
        <bgColor indexed="64"/>
      </patternFill>
    </fill>
    <fill>
      <patternFill patternType="solid">
        <fgColor rgb="FFCCFFFF"/>
        <bgColor indexed="64"/>
      </patternFill>
    </fill>
    <fill>
      <patternFill patternType="solid">
        <fgColor theme="7" tint="0.39997558519241921"/>
        <bgColor indexed="64"/>
      </patternFill>
    </fill>
    <fill>
      <patternFill patternType="solid">
        <fgColor theme="7" tint="0.59999389629810485"/>
        <bgColor indexed="64"/>
      </patternFill>
    </fill>
  </fills>
  <borders count="131">
    <border>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double">
        <color indexed="64"/>
      </left>
      <right style="double">
        <color indexed="64"/>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style="double">
        <color indexed="64"/>
      </bottom>
      <diagonal/>
    </border>
    <border>
      <left style="double">
        <color indexed="64"/>
      </left>
      <right style="double">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top/>
      <bottom style="double">
        <color indexed="64"/>
      </bottom>
      <diagonal/>
    </border>
    <border>
      <left style="thin">
        <color indexed="64"/>
      </left>
      <right style="double">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auto="1"/>
      </left>
      <right/>
      <top/>
      <bottom style="medium">
        <color auto="1"/>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
      <left style="medium">
        <color rgb="FFFF0000"/>
      </left>
      <right style="medium">
        <color rgb="FFFF0000"/>
      </right>
      <top style="medium">
        <color rgb="FFFF0000"/>
      </top>
      <bottom style="double">
        <color indexed="64"/>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double">
        <color indexed="64"/>
      </bottom>
      <diagonal/>
    </border>
    <border>
      <left style="medium">
        <color rgb="FFFF0000"/>
      </left>
      <right style="medium">
        <color rgb="FFFF0000"/>
      </right>
      <top/>
      <bottom style="medium">
        <color rgb="FFFF0000"/>
      </bottom>
      <diagonal/>
    </border>
    <border>
      <left style="medium">
        <color rgb="FFFF0000"/>
      </left>
      <right style="medium">
        <color rgb="FFFF0000"/>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bottom style="thick">
        <color rgb="FFFF0000"/>
      </bottom>
      <diagonal/>
    </border>
    <border>
      <left style="thick">
        <color rgb="FFFF0000"/>
      </left>
      <right/>
      <top style="thick">
        <color rgb="FFFF0000"/>
      </top>
      <bottom/>
      <diagonal/>
    </border>
    <border>
      <left/>
      <right style="thick">
        <color rgb="FFFF0000"/>
      </right>
      <top style="thick">
        <color rgb="FFFF0000"/>
      </top>
      <bottom style="medium">
        <color indexed="64"/>
      </bottom>
      <diagonal/>
    </border>
    <border>
      <left/>
      <right style="thick">
        <color rgb="FFFF0000"/>
      </right>
      <top style="medium">
        <color indexed="64"/>
      </top>
      <bottom/>
      <diagonal/>
    </border>
    <border>
      <left/>
      <right style="thick">
        <color rgb="FFFF0000"/>
      </right>
      <top/>
      <bottom style="double">
        <color indexed="64"/>
      </bottom>
      <diagonal/>
    </border>
    <border>
      <left style="thick">
        <color rgb="FFFF0000"/>
      </left>
      <right style="thin">
        <color indexed="64"/>
      </right>
      <top/>
      <bottom style="thin">
        <color indexed="64"/>
      </bottom>
      <diagonal/>
    </border>
    <border>
      <left style="thin">
        <color indexed="64"/>
      </left>
      <right style="thick">
        <color rgb="FFFF0000"/>
      </right>
      <top/>
      <bottom style="thin">
        <color indexed="64"/>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style="double">
        <color indexed="64"/>
      </bottom>
      <diagonal/>
    </border>
    <border>
      <left style="thin">
        <color indexed="64"/>
      </left>
      <right style="thick">
        <color rgb="FFFF0000"/>
      </right>
      <top style="thin">
        <color indexed="64"/>
      </top>
      <bottom style="double">
        <color indexed="64"/>
      </bottom>
      <diagonal/>
    </border>
    <border>
      <left style="thick">
        <color rgb="FFFF0000"/>
      </left>
      <right style="thin">
        <color indexed="64"/>
      </right>
      <top/>
      <bottom style="double">
        <color indexed="64"/>
      </bottom>
      <diagonal/>
    </border>
    <border>
      <left style="thick">
        <color rgb="FFFF0000"/>
      </left>
      <right style="thin">
        <color indexed="64"/>
      </right>
      <top style="medium">
        <color indexed="64"/>
      </top>
      <bottom/>
      <diagonal/>
    </border>
    <border>
      <left style="thick">
        <color rgb="FFFF0000"/>
      </left>
      <right style="thin">
        <color indexed="64"/>
      </right>
      <top style="double">
        <color indexed="64"/>
      </top>
      <bottom style="thick">
        <color rgb="FFFF0000"/>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dashed">
        <color auto="1"/>
      </bottom>
      <diagonal/>
    </border>
    <border>
      <left/>
      <right style="medium">
        <color auto="1"/>
      </right>
      <top style="medium">
        <color auto="1"/>
      </top>
      <bottom style="dashed">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style="medium">
        <color auto="1"/>
      </left>
      <right style="thin">
        <color auto="1"/>
      </right>
      <top style="medium">
        <color auto="1"/>
      </top>
      <bottom style="dashed">
        <color auto="1"/>
      </bottom>
      <diagonal/>
    </border>
    <border>
      <left style="thin">
        <color auto="1"/>
      </left>
      <right style="medium">
        <color auto="1"/>
      </right>
      <top style="medium">
        <color auto="1"/>
      </top>
      <bottom style="dashed">
        <color auto="1"/>
      </bottom>
      <diagonal/>
    </border>
    <border>
      <left style="medium">
        <color auto="1"/>
      </left>
      <right style="medium">
        <color auto="1"/>
      </right>
      <top style="dashed">
        <color auto="1"/>
      </top>
      <bottom style="dashed">
        <color auto="1"/>
      </bottom>
      <diagonal/>
    </border>
    <border>
      <left/>
      <right style="medium">
        <color auto="1"/>
      </right>
      <top style="dashed">
        <color auto="1"/>
      </top>
      <bottom style="dashed">
        <color auto="1"/>
      </bottom>
      <diagonal/>
    </border>
    <border>
      <left style="medium">
        <color auto="1"/>
      </left>
      <right style="medium">
        <color auto="1"/>
      </right>
      <top style="dashed">
        <color auto="1"/>
      </top>
      <bottom/>
      <diagonal/>
    </border>
    <border>
      <left/>
      <right style="medium">
        <color auto="1"/>
      </right>
      <top style="dashed">
        <color auto="1"/>
      </top>
      <bottom/>
      <diagonal/>
    </border>
    <border>
      <left style="medium">
        <color auto="1"/>
      </left>
      <right/>
      <top style="dashed">
        <color auto="1"/>
      </top>
      <bottom style="dashed">
        <color auto="1"/>
      </bottom>
      <diagonal/>
    </border>
    <border>
      <left/>
      <right/>
      <top style="dashed">
        <color auto="1"/>
      </top>
      <bottom style="dashed">
        <color auto="1"/>
      </bottom>
      <diagonal/>
    </border>
    <border>
      <left style="medium">
        <color auto="1"/>
      </left>
      <right style="thin">
        <color auto="1"/>
      </right>
      <top style="dashed">
        <color auto="1"/>
      </top>
      <bottom style="dashed">
        <color auto="1"/>
      </bottom>
      <diagonal/>
    </border>
    <border>
      <left style="thin">
        <color auto="1"/>
      </left>
      <right style="medium">
        <color auto="1"/>
      </right>
      <top style="dashed">
        <color auto="1"/>
      </top>
      <bottom style="dashed">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right style="medium">
        <color indexed="64"/>
      </right>
      <top style="dashed">
        <color auto="1"/>
      </top>
      <bottom style="medium">
        <color indexed="64"/>
      </bottom>
      <diagonal/>
    </border>
    <border>
      <left style="medium">
        <color auto="1"/>
      </left>
      <right style="thin">
        <color auto="1"/>
      </right>
      <top style="dashed">
        <color auto="1"/>
      </top>
      <bottom style="medium">
        <color indexed="64"/>
      </bottom>
      <diagonal/>
    </border>
    <border>
      <left style="thin">
        <color auto="1"/>
      </left>
      <right style="medium">
        <color indexed="64"/>
      </right>
      <top style="dashed">
        <color auto="1"/>
      </top>
      <bottom style="medium">
        <color indexed="64"/>
      </bottom>
      <diagonal/>
    </border>
    <border>
      <left style="medium">
        <color auto="1"/>
      </left>
      <right style="medium">
        <color auto="1"/>
      </right>
      <top style="dashed">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indexed="64"/>
      </left>
      <right style="medium">
        <color indexed="64"/>
      </right>
      <top/>
      <bottom style="medium">
        <color indexed="64"/>
      </bottom>
      <diagonal/>
    </border>
    <border>
      <left style="medium">
        <color auto="1"/>
      </left>
      <right/>
      <top style="dashed">
        <color auto="1"/>
      </top>
      <bottom style="double">
        <color auto="1"/>
      </bottom>
      <diagonal/>
    </border>
    <border>
      <left style="medium">
        <color auto="1"/>
      </left>
      <right style="medium">
        <color auto="1"/>
      </right>
      <top style="dashed">
        <color auto="1"/>
      </top>
      <bottom style="double">
        <color auto="1"/>
      </bottom>
      <diagonal/>
    </border>
    <border>
      <left/>
      <right style="medium">
        <color auto="1"/>
      </right>
      <top style="dashed">
        <color auto="1"/>
      </top>
      <bottom style="double">
        <color auto="1"/>
      </bottom>
      <diagonal/>
    </border>
    <border>
      <left/>
      <right/>
      <top style="dashed">
        <color auto="1"/>
      </top>
      <bottom style="double">
        <color auto="1"/>
      </bottom>
      <diagonal/>
    </border>
    <border>
      <left style="medium">
        <color auto="1"/>
      </left>
      <right style="medium">
        <color auto="1"/>
      </right>
      <top style="double">
        <color auto="1"/>
      </top>
      <bottom style="medium">
        <color auto="1"/>
      </bottom>
      <diagonal/>
    </border>
    <border>
      <left style="medium">
        <color auto="1"/>
      </left>
      <right style="medium">
        <color auto="1"/>
      </right>
      <top style="dashed">
        <color auto="1"/>
      </top>
      <bottom style="thin">
        <color auto="1"/>
      </bottom>
      <diagonal/>
    </border>
    <border>
      <left style="medium">
        <color auto="1"/>
      </left>
      <right style="medium">
        <color auto="1"/>
      </right>
      <top/>
      <bottom style="dashed">
        <color auto="1"/>
      </bottom>
      <diagonal/>
    </border>
    <border>
      <left/>
      <right style="thin">
        <color indexed="64"/>
      </right>
      <top style="double">
        <color indexed="64"/>
      </top>
      <bottom/>
      <diagonal/>
    </border>
    <border>
      <left style="thick">
        <color rgb="FFFF0000"/>
      </left>
      <right/>
      <top/>
      <bottom/>
      <diagonal/>
    </border>
  </borders>
  <cellStyleXfs count="51">
    <xf numFmtId="0" fontId="0" fillId="0" borderId="0"/>
    <xf numFmtId="0" fontId="8" fillId="0" borderId="0"/>
    <xf numFmtId="0" fontId="9" fillId="0" borderId="0"/>
    <xf numFmtId="0" fontId="8"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xf numFmtId="0" fontId="8" fillId="0" borderId="0"/>
    <xf numFmtId="0" fontId="20" fillId="0" borderId="0"/>
    <xf numFmtId="0" fontId="9" fillId="0" borderId="0"/>
    <xf numFmtId="0" fontId="20" fillId="0" borderId="0"/>
    <xf numFmtId="0" fontId="20" fillId="0" borderId="0"/>
    <xf numFmtId="0" fontId="9" fillId="0" borderId="0"/>
    <xf numFmtId="0" fontId="8" fillId="0" borderId="0"/>
    <xf numFmtId="0" fontId="21" fillId="0" borderId="0"/>
    <xf numFmtId="0" fontId="9" fillId="0" borderId="0"/>
    <xf numFmtId="0" fontId="8" fillId="0" borderId="0"/>
    <xf numFmtId="9" fontId="9" fillId="0" borderId="0" applyFont="0" applyFill="0" applyBorder="0" applyAlignment="0" applyProtection="0"/>
    <xf numFmtId="9" fontId="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7" fillId="0" borderId="0"/>
    <xf numFmtId="0" fontId="27" fillId="0" borderId="0"/>
    <xf numFmtId="0" fontId="9" fillId="0" borderId="0"/>
    <xf numFmtId="0" fontId="45" fillId="0" borderId="0"/>
    <xf numFmtId="0" fontId="6" fillId="0" borderId="0"/>
    <xf numFmtId="0" fontId="6" fillId="0" borderId="0"/>
    <xf numFmtId="0" fontId="6" fillId="0" borderId="0"/>
    <xf numFmtId="0" fontId="9" fillId="0" borderId="0"/>
    <xf numFmtId="9" fontId="9" fillId="0" borderId="0" applyFont="0" applyFill="0" applyBorder="0" applyAlignment="0" applyProtection="0"/>
    <xf numFmtId="0" fontId="45" fillId="0" borderId="0"/>
    <xf numFmtId="0" fontId="5" fillId="10" borderId="0" applyNumberFormat="0" applyBorder="0" applyAlignment="0" applyProtection="0"/>
    <xf numFmtId="0" fontId="5" fillId="0" borderId="0"/>
    <xf numFmtId="43" fontId="9" fillId="0" borderId="0" applyFont="0" applyFill="0" applyBorder="0" applyAlignment="0" applyProtection="0"/>
    <xf numFmtId="9" fontId="9" fillId="0" borderId="0" applyFont="0" applyFill="0" applyBorder="0" applyAlignment="0" applyProtection="0"/>
    <xf numFmtId="0" fontId="3" fillId="0" borderId="0"/>
    <xf numFmtId="0" fontId="2" fillId="0" borderId="0"/>
    <xf numFmtId="0" fontId="2" fillId="0" borderId="0"/>
    <xf numFmtId="0" fontId="2" fillId="0" borderId="0"/>
    <xf numFmtId="0" fontId="73" fillId="0" borderId="0"/>
    <xf numFmtId="0" fontId="77" fillId="0" borderId="0"/>
    <xf numFmtId="0" fontId="1" fillId="10" borderId="0" applyNumberFormat="0" applyBorder="0" applyAlignment="0" applyProtection="0"/>
  </cellStyleXfs>
  <cellXfs count="1520">
    <xf numFmtId="0" fontId="0" fillId="0" borderId="0" xfId="0"/>
    <xf numFmtId="0" fontId="0" fillId="0" borderId="0" xfId="0" applyFill="1"/>
    <xf numFmtId="0" fontId="0" fillId="0" borderId="0" xfId="0" applyBorder="1"/>
    <xf numFmtId="0" fontId="16" fillId="0" borderId="0" xfId="0" applyFont="1"/>
    <xf numFmtId="0" fontId="17" fillId="0" borderId="0" xfId="0" applyFont="1"/>
    <xf numFmtId="0" fontId="0" fillId="0" borderId="0" xfId="0" applyFont="1" applyBorder="1" applyAlignment="1"/>
    <xf numFmtId="0" fontId="0" fillId="0" borderId="0" xfId="0" applyFont="1" applyAlignment="1"/>
    <xf numFmtId="0" fontId="0" fillId="0" borderId="0" xfId="0" applyFont="1" applyProtection="1">
      <protection hidden="1"/>
    </xf>
    <xf numFmtId="0" fontId="10" fillId="0" borderId="0" xfId="0" applyFont="1" applyProtection="1">
      <protection hidden="1"/>
    </xf>
    <xf numFmtId="0" fontId="10" fillId="2" borderId="1" xfId="0" applyFont="1" applyFill="1" applyBorder="1" applyAlignment="1" applyProtection="1">
      <alignment horizontal="center"/>
      <protection hidden="1"/>
    </xf>
    <xf numFmtId="0" fontId="10" fillId="2" borderId="6" xfId="0" applyFont="1" applyFill="1" applyBorder="1" applyAlignment="1" applyProtection="1">
      <alignment horizontal="center"/>
      <protection hidden="1"/>
    </xf>
    <xf numFmtId="3" fontId="10" fillId="0" borderId="0" xfId="0" applyNumberFormat="1" applyFont="1" applyProtection="1">
      <protection hidden="1"/>
    </xf>
    <xf numFmtId="0" fontId="10" fillId="2" borderId="10" xfId="0" applyFont="1" applyFill="1" applyBorder="1" applyAlignment="1" applyProtection="1">
      <alignment horizontal="center"/>
      <protection hidden="1"/>
    </xf>
    <xf numFmtId="0" fontId="11" fillId="2" borderId="15" xfId="0" applyFont="1" applyFill="1" applyBorder="1" applyAlignment="1" applyProtection="1">
      <alignment horizontal="center"/>
      <protection hidden="1"/>
    </xf>
    <xf numFmtId="0" fontId="10" fillId="0" borderId="0" xfId="0" applyFont="1" applyFill="1" applyProtection="1">
      <protection hidden="1"/>
    </xf>
    <xf numFmtId="0" fontId="0" fillId="0" borderId="0" xfId="0" applyProtection="1">
      <protection hidden="1"/>
    </xf>
    <xf numFmtId="0" fontId="10" fillId="2" borderId="9" xfId="0" applyFont="1" applyFill="1" applyBorder="1" applyProtection="1">
      <protection hidden="1"/>
    </xf>
    <xf numFmtId="0" fontId="11" fillId="0" borderId="0" xfId="0" applyFont="1" applyProtection="1">
      <protection hidden="1"/>
    </xf>
    <xf numFmtId="0" fontId="0" fillId="0" borderId="0" xfId="0" applyAlignment="1" applyProtection="1">
      <alignment horizontal="left"/>
      <protection hidden="1"/>
    </xf>
    <xf numFmtId="0" fontId="10" fillId="5" borderId="3" xfId="0" applyFont="1" applyFill="1" applyBorder="1" applyProtection="1">
      <protection hidden="1"/>
    </xf>
    <xf numFmtId="0" fontId="10" fillId="5" borderId="9" xfId="0" applyFont="1" applyFill="1" applyBorder="1" applyProtection="1">
      <protection hidden="1"/>
    </xf>
    <xf numFmtId="0" fontId="10" fillId="5" borderId="13" xfId="0" applyFont="1" applyFill="1" applyBorder="1" applyProtection="1">
      <protection hidden="1"/>
    </xf>
    <xf numFmtId="0" fontId="10" fillId="0" borderId="0" xfId="0" applyFont="1" applyFill="1" applyBorder="1" applyProtection="1">
      <protection hidden="1"/>
    </xf>
    <xf numFmtId="1" fontId="11" fillId="0" borderId="0" xfId="0" applyNumberFormat="1" applyFont="1" applyAlignment="1" applyProtection="1">
      <alignment vertical="center"/>
      <protection hidden="1"/>
    </xf>
    <xf numFmtId="0" fontId="11" fillId="0" borderId="0" xfId="0" applyFont="1" applyAlignment="1" applyProtection="1">
      <alignment vertical="center"/>
      <protection hidden="1"/>
    </xf>
    <xf numFmtId="0" fontId="10" fillId="5" borderId="4" xfId="0" applyFont="1" applyFill="1" applyBorder="1" applyProtection="1">
      <protection hidden="1"/>
    </xf>
    <xf numFmtId="167" fontId="10" fillId="8" borderId="2" xfId="0" applyNumberFormat="1" applyFont="1" applyFill="1" applyBorder="1" applyProtection="1">
      <protection hidden="1"/>
    </xf>
    <xf numFmtId="167" fontId="10" fillId="8" borderId="3" xfId="0" applyNumberFormat="1" applyFont="1" applyFill="1" applyBorder="1" applyProtection="1">
      <protection hidden="1"/>
    </xf>
    <xf numFmtId="0" fontId="10" fillId="5" borderId="7" xfId="0" applyFont="1" applyFill="1" applyBorder="1" applyProtection="1">
      <protection hidden="1"/>
    </xf>
    <xf numFmtId="0" fontId="10" fillId="5" borderId="11" xfId="0" applyFont="1" applyFill="1" applyBorder="1" applyProtection="1">
      <protection hidden="1"/>
    </xf>
    <xf numFmtId="167" fontId="10" fillId="8" borderId="12" xfId="0" applyNumberFormat="1" applyFont="1" applyFill="1" applyBorder="1" applyProtection="1">
      <protection hidden="1"/>
    </xf>
    <xf numFmtId="167" fontId="10" fillId="8" borderId="13" xfId="0" applyNumberFormat="1" applyFont="1" applyFill="1" applyBorder="1" applyProtection="1">
      <protection hidden="1"/>
    </xf>
    <xf numFmtId="0" fontId="10" fillId="0" borderId="0" xfId="0" applyFont="1" applyFill="1" applyBorder="1" applyAlignment="1" applyProtection="1">
      <alignment horizontal="center"/>
      <protection hidden="1"/>
    </xf>
    <xf numFmtId="3" fontId="10" fillId="0" borderId="0" xfId="0" applyNumberFormat="1" applyFont="1" applyFill="1" applyBorder="1" applyProtection="1">
      <protection hidden="1"/>
    </xf>
    <xf numFmtId="167" fontId="10" fillId="0" borderId="0" xfId="0" applyNumberFormat="1" applyFont="1" applyFill="1" applyBorder="1" applyProtection="1">
      <protection hidden="1"/>
    </xf>
    <xf numFmtId="3" fontId="11" fillId="0" borderId="0" xfId="0" applyNumberFormat="1" applyFont="1" applyFill="1" applyBorder="1" applyProtection="1">
      <protection hidden="1"/>
    </xf>
    <xf numFmtId="3" fontId="10" fillId="0" borderId="0" xfId="0" applyNumberFormat="1" applyFont="1" applyFill="1" applyProtection="1">
      <protection hidden="1"/>
    </xf>
    <xf numFmtId="0" fontId="24" fillId="0" borderId="0" xfId="0" applyFont="1" applyFill="1" applyProtection="1">
      <protection hidden="1"/>
    </xf>
    <xf numFmtId="0" fontId="12" fillId="0" borderId="0" xfId="0" applyFont="1" applyFill="1" applyProtection="1">
      <protection hidden="1"/>
    </xf>
    <xf numFmtId="3" fontId="11" fillId="0" borderId="0" xfId="0" applyNumberFormat="1" applyFont="1" applyFill="1" applyProtection="1">
      <protection hidden="1"/>
    </xf>
    <xf numFmtId="1" fontId="10" fillId="0" borderId="0" xfId="0" applyNumberFormat="1" applyFont="1" applyFill="1" applyProtection="1">
      <protection hidden="1"/>
    </xf>
    <xf numFmtId="0" fontId="0" fillId="0" borderId="0" xfId="0" applyFill="1" applyProtection="1">
      <protection hidden="1"/>
    </xf>
    <xf numFmtId="0" fontId="10" fillId="2" borderId="3" xfId="0" applyFont="1" applyFill="1" applyBorder="1" applyProtection="1">
      <protection hidden="1"/>
    </xf>
    <xf numFmtId="0" fontId="10" fillId="2" borderId="51" xfId="0" applyFont="1" applyFill="1" applyBorder="1" applyAlignment="1" applyProtection="1">
      <alignment horizontal="center"/>
      <protection hidden="1"/>
    </xf>
    <xf numFmtId="0" fontId="10" fillId="5" borderId="44" xfId="0" applyFont="1" applyFill="1" applyBorder="1" applyAlignment="1" applyProtection="1">
      <alignment horizontal="right" vertical="center"/>
      <protection hidden="1"/>
    </xf>
    <xf numFmtId="0" fontId="10" fillId="5" borderId="48" xfId="0" applyFont="1" applyFill="1" applyBorder="1" applyAlignment="1" applyProtection="1">
      <alignment horizontal="right" vertical="center"/>
      <protection hidden="1"/>
    </xf>
    <xf numFmtId="0" fontId="10" fillId="5" borderId="41" xfId="0" applyFont="1" applyFill="1" applyBorder="1" applyAlignment="1" applyProtection="1">
      <alignment horizontal="right" vertical="center" wrapText="1"/>
      <protection hidden="1"/>
    </xf>
    <xf numFmtId="0" fontId="10" fillId="2" borderId="13" xfId="0" applyFont="1" applyFill="1" applyBorder="1" applyProtection="1">
      <protection hidden="1"/>
    </xf>
    <xf numFmtId="0" fontId="10" fillId="0" borderId="0" xfId="0" applyFont="1" applyFill="1"/>
    <xf numFmtId="0" fontId="10" fillId="0" borderId="0" xfId="0" applyFont="1"/>
    <xf numFmtId="0" fontId="10" fillId="0" borderId="0" xfId="0" applyFont="1" applyBorder="1"/>
    <xf numFmtId="0" fontId="19" fillId="0" borderId="0" xfId="0" applyFont="1" applyFill="1"/>
    <xf numFmtId="0" fontId="19" fillId="0" borderId="0" xfId="0" applyFont="1"/>
    <xf numFmtId="0" fontId="18" fillId="5" borderId="13" xfId="0" applyFont="1" applyFill="1" applyBorder="1" applyAlignment="1">
      <alignment horizontal="center"/>
    </xf>
    <xf numFmtId="0" fontId="18" fillId="0" borderId="0" xfId="0" applyFont="1" applyAlignment="1">
      <alignment horizontal="left"/>
    </xf>
    <xf numFmtId="0" fontId="10" fillId="2" borderId="46" xfId="0" applyFont="1" applyFill="1" applyBorder="1" applyAlignment="1" applyProtection="1">
      <alignment horizontal="left" vertical="center"/>
      <protection hidden="1"/>
    </xf>
    <xf numFmtId="0" fontId="22" fillId="2" borderId="13" xfId="0" applyFont="1" applyFill="1" applyBorder="1" applyProtection="1">
      <protection hidden="1"/>
    </xf>
    <xf numFmtId="0" fontId="10" fillId="0" borderId="0" xfId="0" applyFont="1" applyFill="1" applyAlignment="1" applyProtection="1">
      <alignment vertical="center"/>
      <protection hidden="1"/>
    </xf>
    <xf numFmtId="0" fontId="10" fillId="0" borderId="0" xfId="0" applyFont="1" applyFill="1" applyBorder="1" applyAlignment="1" applyProtection="1">
      <alignment vertical="center"/>
      <protection hidden="1"/>
    </xf>
    <xf numFmtId="0" fontId="11" fillId="0" borderId="0" xfId="0" applyFont="1" applyFill="1" applyProtection="1">
      <protection hidden="1"/>
    </xf>
    <xf numFmtId="0" fontId="10" fillId="0" borderId="0" xfId="0" applyFont="1" applyFill="1" applyBorder="1"/>
    <xf numFmtId="0" fontId="30" fillId="0" borderId="0" xfId="0" applyFont="1" applyFill="1"/>
    <xf numFmtId="0" fontId="30" fillId="0" borderId="0" xfId="0" applyFont="1"/>
    <xf numFmtId="0" fontId="31" fillId="0" borderId="0" xfId="0" applyFont="1" applyFill="1" applyBorder="1"/>
    <xf numFmtId="0" fontId="30" fillId="0" borderId="0" xfId="0" applyFont="1" applyFill="1" applyBorder="1" applyAlignment="1">
      <alignment horizontal="center"/>
    </xf>
    <xf numFmtId="0" fontId="30" fillId="5" borderId="27" xfId="0" applyFont="1" applyFill="1" applyBorder="1" applyAlignment="1">
      <alignment horizontal="center"/>
    </xf>
    <xf numFmtId="0" fontId="30" fillId="0" borderId="0" xfId="0" applyFont="1" applyFill="1" applyBorder="1"/>
    <xf numFmtId="3" fontId="30" fillId="0" borderId="0" xfId="0" applyNumberFormat="1" applyFont="1" applyFill="1" applyBorder="1" applyAlignment="1">
      <alignment horizontal="center"/>
    </xf>
    <xf numFmtId="0" fontId="10" fillId="0" borderId="0" xfId="0" applyFont="1" applyAlignment="1">
      <alignment horizontal="left"/>
    </xf>
    <xf numFmtId="3" fontId="10" fillId="0" borderId="0" xfId="0" applyNumberFormat="1" applyFont="1" applyFill="1" applyBorder="1"/>
    <xf numFmtId="0" fontId="10" fillId="0" borderId="0" xfId="0" applyFont="1" applyFill="1" applyBorder="1" applyAlignment="1">
      <alignment horizontal="center"/>
    </xf>
    <xf numFmtId="1" fontId="10" fillId="0" borderId="0" xfId="0" applyNumberFormat="1" applyFont="1" applyFill="1" applyBorder="1" applyAlignment="1">
      <alignment horizontal="center"/>
    </xf>
    <xf numFmtId="3" fontId="11" fillId="0" borderId="0" xfId="0" applyNumberFormat="1" applyFont="1" applyFill="1" applyBorder="1" applyAlignment="1">
      <alignment horizontal="center"/>
    </xf>
    <xf numFmtId="0" fontId="11" fillId="0" borderId="0" xfId="0" applyFont="1" applyFill="1" applyBorder="1" applyAlignment="1">
      <alignment horizontal="center"/>
    </xf>
    <xf numFmtId="3" fontId="10" fillId="0" borderId="0" xfId="0" applyNumberFormat="1" applyFont="1" applyFill="1" applyBorder="1" applyAlignment="1">
      <alignment horizontal="center"/>
    </xf>
    <xf numFmtId="0" fontId="10" fillId="0" borderId="0" xfId="0" applyFont="1" applyAlignment="1">
      <alignment horizontal="center"/>
    </xf>
    <xf numFmtId="3" fontId="10" fillId="0" borderId="0" xfId="0" applyNumberFormat="1" applyFont="1" applyBorder="1"/>
    <xf numFmtId="0" fontId="11" fillId="0" borderId="0" xfId="0" applyFont="1"/>
    <xf numFmtId="0" fontId="32" fillId="0" borderId="0" xfId="0" applyFont="1" applyBorder="1"/>
    <xf numFmtId="0" fontId="33" fillId="0" borderId="0" xfId="0" applyFont="1" applyBorder="1"/>
    <xf numFmtId="0" fontId="11" fillId="0" borderId="0" xfId="0" applyFont="1" applyFill="1" applyBorder="1"/>
    <xf numFmtId="3" fontId="11" fillId="0" borderId="0" xfId="0" applyNumberFormat="1" applyFont="1" applyFill="1" applyBorder="1" applyAlignment="1"/>
    <xf numFmtId="0" fontId="32" fillId="0" borderId="0" xfId="0" applyFont="1" applyFill="1" applyBorder="1"/>
    <xf numFmtId="0" fontId="15" fillId="0" borderId="0" xfId="0" applyFont="1" applyFill="1" applyAlignment="1"/>
    <xf numFmtId="0" fontId="34" fillId="0" borderId="0" xfId="0" applyFont="1" applyFill="1" applyAlignment="1"/>
    <xf numFmtId="0" fontId="31" fillId="5" borderId="38" xfId="0" applyFont="1" applyFill="1" applyBorder="1"/>
    <xf numFmtId="0" fontId="31" fillId="5" borderId="8" xfId="0" applyFont="1" applyFill="1" applyBorder="1"/>
    <xf numFmtId="0" fontId="10" fillId="2" borderId="3" xfId="0" applyFont="1" applyFill="1" applyBorder="1"/>
    <xf numFmtId="0" fontId="10" fillId="2" borderId="9" xfId="0" applyFont="1" applyFill="1" applyBorder="1"/>
    <xf numFmtId="0" fontId="10" fillId="2" borderId="46" xfId="0" applyFont="1" applyFill="1" applyBorder="1"/>
    <xf numFmtId="0" fontId="11" fillId="2" borderId="53" xfId="0" applyFont="1" applyFill="1" applyBorder="1"/>
    <xf numFmtId="0" fontId="10" fillId="2" borderId="48" xfId="0" applyFont="1" applyFill="1" applyBorder="1"/>
    <xf numFmtId="0" fontId="11" fillId="2" borderId="20" xfId="0" applyFont="1" applyFill="1" applyBorder="1"/>
    <xf numFmtId="0" fontId="18" fillId="2" borderId="13" xfId="0" applyFont="1" applyFill="1" applyBorder="1" applyAlignment="1">
      <alignment horizontal="left"/>
    </xf>
    <xf numFmtId="0" fontId="11" fillId="2" borderId="13" xfId="0" applyFont="1" applyFill="1" applyBorder="1" applyAlignment="1" applyProtection="1">
      <alignment vertical="center"/>
      <protection hidden="1"/>
    </xf>
    <xf numFmtId="0" fontId="10" fillId="2" borderId="3" xfId="0" applyFont="1" applyFill="1" applyBorder="1" applyAlignment="1" applyProtection="1">
      <alignment horizontal="center"/>
      <protection hidden="1"/>
    </xf>
    <xf numFmtId="0" fontId="10" fillId="2" borderId="9" xfId="0" applyFont="1" applyFill="1" applyBorder="1" applyAlignment="1" applyProtection="1">
      <alignment horizontal="center"/>
      <protection hidden="1"/>
    </xf>
    <xf numFmtId="0" fontId="10" fillId="2" borderId="13" xfId="0" applyFont="1" applyFill="1" applyBorder="1" applyAlignment="1" applyProtection="1">
      <alignment horizontal="center"/>
      <protection hidden="1"/>
    </xf>
    <xf numFmtId="0" fontId="11" fillId="2" borderId="3" xfId="0" applyFont="1" applyFill="1" applyBorder="1" applyAlignment="1" applyProtection="1">
      <alignment horizontal="center"/>
      <protection hidden="1"/>
    </xf>
    <xf numFmtId="0" fontId="11" fillId="2" borderId="3" xfId="0" applyFont="1" applyFill="1" applyBorder="1" applyProtection="1">
      <protection hidden="1"/>
    </xf>
    <xf numFmtId="0" fontId="37" fillId="0" borderId="0" xfId="0" applyFont="1" applyProtection="1">
      <protection hidden="1"/>
    </xf>
    <xf numFmtId="0" fontId="37" fillId="0" borderId="0" xfId="0" applyFont="1"/>
    <xf numFmtId="0" fontId="37" fillId="0" borderId="0" xfId="0" applyFont="1" applyAlignment="1">
      <alignment horizontal="left"/>
    </xf>
    <xf numFmtId="0" fontId="11" fillId="0" borderId="0" xfId="0" applyFont="1" applyFill="1"/>
    <xf numFmtId="0" fontId="11" fillId="2" borderId="9" xfId="0" applyFont="1" applyFill="1" applyBorder="1"/>
    <xf numFmtId="0" fontId="11" fillId="2" borderId="9" xfId="0" applyFont="1" applyFill="1" applyBorder="1" applyAlignment="1">
      <alignment horizontal="center"/>
    </xf>
    <xf numFmtId="0" fontId="11" fillId="3" borderId="9" xfId="0" applyFont="1" applyFill="1" applyBorder="1"/>
    <xf numFmtId="3" fontId="10" fillId="3" borderId="9" xfId="0" applyNumberFormat="1" applyFont="1" applyFill="1" applyBorder="1"/>
    <xf numFmtId="3" fontId="11" fillId="3" borderId="9" xfId="0" applyNumberFormat="1" applyFont="1" applyFill="1" applyBorder="1"/>
    <xf numFmtId="166" fontId="10" fillId="3" borderId="9" xfId="0" applyNumberFormat="1" applyFont="1" applyFill="1" applyBorder="1"/>
    <xf numFmtId="166" fontId="11" fillId="3" borderId="9" xfId="0" applyNumberFormat="1" applyFont="1" applyFill="1" applyBorder="1"/>
    <xf numFmtId="166" fontId="10" fillId="0" borderId="0" xfId="0" applyNumberFormat="1" applyFont="1" applyFill="1" applyBorder="1"/>
    <xf numFmtId="166" fontId="11" fillId="0" borderId="0" xfId="0" applyNumberFormat="1" applyFont="1" applyFill="1" applyBorder="1"/>
    <xf numFmtId="0" fontId="10" fillId="0" borderId="42" xfId="0" applyFont="1" applyFill="1" applyBorder="1"/>
    <xf numFmtId="0" fontId="29" fillId="0" borderId="0" xfId="1" applyFont="1"/>
    <xf numFmtId="0" fontId="10" fillId="0" borderId="0" xfId="0" applyFont="1" applyAlignment="1">
      <alignment vertical="center"/>
    </xf>
    <xf numFmtId="0" fontId="10" fillId="2" borderId="9" xfId="0" applyFont="1" applyFill="1" applyBorder="1" applyAlignment="1">
      <alignment vertical="center" wrapText="1"/>
    </xf>
    <xf numFmtId="0" fontId="11" fillId="0" borderId="0" xfId="0" applyFont="1" applyAlignment="1">
      <alignment horizontal="center"/>
    </xf>
    <xf numFmtId="0" fontId="10" fillId="0" borderId="0" xfId="0" applyFont="1" applyAlignment="1"/>
    <xf numFmtId="0" fontId="10" fillId="0" borderId="0" xfId="0" applyFont="1" applyFill="1" applyBorder="1" applyAlignment="1"/>
    <xf numFmtId="0" fontId="10" fillId="0" borderId="0" xfId="0" applyFont="1" applyBorder="1" applyAlignment="1"/>
    <xf numFmtId="0" fontId="10" fillId="0" borderId="0" xfId="0" applyFont="1" applyFill="1" applyBorder="1" applyAlignment="1">
      <alignment vertical="center"/>
    </xf>
    <xf numFmtId="0" fontId="10" fillId="0" borderId="0" xfId="0" applyFont="1" applyBorder="1" applyAlignment="1">
      <alignment vertical="center"/>
    </xf>
    <xf numFmtId="0" fontId="11" fillId="2" borderId="49" xfId="0" applyFont="1" applyFill="1" applyBorder="1" applyAlignment="1">
      <alignment vertical="center" wrapText="1"/>
    </xf>
    <xf numFmtId="0" fontId="10" fillId="0" borderId="0" xfId="0" applyFont="1" applyBorder="1" applyAlignment="1">
      <alignment horizontal="left" wrapText="1"/>
    </xf>
    <xf numFmtId="0" fontId="11" fillId="0" borderId="0" xfId="0" applyFont="1" applyBorder="1" applyAlignment="1">
      <alignment horizontal="center" vertical="top" wrapText="1"/>
    </xf>
    <xf numFmtId="3" fontId="11" fillId="5" borderId="3" xfId="0" applyNumberFormat="1" applyFont="1" applyFill="1" applyBorder="1" applyProtection="1">
      <protection hidden="1"/>
    </xf>
    <xf numFmtId="0" fontId="10" fillId="2" borderId="46" xfId="0" applyFont="1" applyFill="1" applyBorder="1" applyAlignment="1" applyProtection="1">
      <alignment horizontal="center" vertical="center"/>
      <protection hidden="1"/>
    </xf>
    <xf numFmtId="0" fontId="11" fillId="5" borderId="3" xfId="0" applyFont="1" applyFill="1" applyBorder="1" applyProtection="1">
      <protection hidden="1"/>
    </xf>
    <xf numFmtId="167" fontId="11" fillId="8" borderId="2" xfId="0" applyNumberFormat="1" applyFont="1" applyFill="1" applyBorder="1" applyProtection="1">
      <protection hidden="1"/>
    </xf>
    <xf numFmtId="167" fontId="11" fillId="8" borderId="3" xfId="0" applyNumberFormat="1" applyFont="1" applyFill="1" applyBorder="1" applyProtection="1">
      <protection hidden="1"/>
    </xf>
    <xf numFmtId="0" fontId="11" fillId="2" borderId="3" xfId="0" applyFont="1" applyFill="1" applyBorder="1" applyAlignment="1">
      <alignment horizontal="left"/>
    </xf>
    <xf numFmtId="3" fontId="10" fillId="0" borderId="0" xfId="0" applyNumberFormat="1" applyFont="1" applyAlignment="1">
      <alignment horizontal="center"/>
    </xf>
    <xf numFmtId="0" fontId="10" fillId="2" borderId="9" xfId="0" applyFont="1" applyFill="1" applyBorder="1" applyAlignment="1">
      <alignment horizontal="left"/>
    </xf>
    <xf numFmtId="0" fontId="10" fillId="2" borderId="46" xfId="0" applyFont="1" applyFill="1" applyBorder="1" applyAlignment="1">
      <alignment horizontal="left"/>
    </xf>
    <xf numFmtId="0" fontId="11" fillId="2" borderId="53" xfId="0" applyFont="1" applyFill="1" applyBorder="1" applyAlignment="1">
      <alignment horizontal="left"/>
    </xf>
    <xf numFmtId="0" fontId="10" fillId="2" borderId="3" xfId="0" applyFont="1" applyFill="1" applyBorder="1" applyAlignment="1">
      <alignment horizontal="left"/>
    </xf>
    <xf numFmtId="0" fontId="10" fillId="2" borderId="9" xfId="0" applyFont="1" applyFill="1" applyBorder="1" applyAlignment="1">
      <alignment horizontal="left" wrapText="1"/>
    </xf>
    <xf numFmtId="0" fontId="11" fillId="2" borderId="20" xfId="0" applyFont="1" applyFill="1" applyBorder="1" applyAlignment="1">
      <alignment horizontal="left"/>
    </xf>
    <xf numFmtId="0" fontId="22" fillId="0" borderId="0" xfId="0" applyFont="1" applyProtection="1">
      <protection hidden="1"/>
    </xf>
    <xf numFmtId="0" fontId="23" fillId="5" borderId="29" xfId="0" applyFont="1" applyFill="1" applyBorder="1" applyAlignment="1" applyProtection="1">
      <alignment horizontal="center" vertical="center"/>
      <protection hidden="1"/>
    </xf>
    <xf numFmtId="0" fontId="23" fillId="5" borderId="27" xfId="0" applyFont="1" applyFill="1" applyBorder="1" applyAlignment="1" applyProtection="1">
      <alignment horizontal="center" vertical="center"/>
      <protection hidden="1"/>
    </xf>
    <xf numFmtId="167" fontId="23" fillId="5" borderId="9" xfId="0" applyNumberFormat="1" applyFont="1" applyFill="1" applyBorder="1" applyAlignment="1" applyProtection="1">
      <alignment horizontal="center" vertical="center"/>
      <protection hidden="1"/>
    </xf>
    <xf numFmtId="167" fontId="23" fillId="5" borderId="9" xfId="0" applyNumberFormat="1" applyFont="1" applyFill="1" applyBorder="1" applyAlignment="1" applyProtection="1">
      <alignment horizontal="center"/>
      <protection hidden="1"/>
    </xf>
    <xf numFmtId="167" fontId="23" fillId="5" borderId="8" xfId="0" applyNumberFormat="1" applyFont="1" applyFill="1" applyBorder="1" applyAlignment="1" applyProtection="1">
      <alignment horizontal="center"/>
      <protection hidden="1"/>
    </xf>
    <xf numFmtId="167" fontId="23" fillId="5" borderId="46" xfId="0" applyNumberFormat="1" applyFont="1" applyFill="1" applyBorder="1" applyAlignment="1" applyProtection="1">
      <alignment horizontal="center"/>
      <protection hidden="1"/>
    </xf>
    <xf numFmtId="167" fontId="23" fillId="5" borderId="39" xfId="0" applyNumberFormat="1" applyFont="1" applyFill="1" applyBorder="1" applyAlignment="1" applyProtection="1">
      <alignment horizontal="center"/>
      <protection hidden="1"/>
    </xf>
    <xf numFmtId="0" fontId="23" fillId="0" borderId="0" xfId="0" applyFont="1" applyFill="1" applyProtection="1">
      <protection hidden="1"/>
    </xf>
    <xf numFmtId="0" fontId="23" fillId="5" borderId="13" xfId="0" applyFont="1" applyFill="1" applyBorder="1" applyAlignment="1" applyProtection="1">
      <alignment horizontal="center" vertical="center" wrapText="1"/>
      <protection hidden="1"/>
    </xf>
    <xf numFmtId="0" fontId="23" fillId="5" borderId="12" xfId="0" applyFont="1" applyFill="1" applyBorder="1" applyAlignment="1" applyProtection="1">
      <alignment horizontal="center" vertical="center" wrapText="1"/>
      <protection hidden="1"/>
    </xf>
    <xf numFmtId="3" fontId="23" fillId="5" borderId="27" xfId="0" applyNumberFormat="1" applyFont="1" applyFill="1" applyBorder="1" applyAlignment="1" applyProtection="1">
      <alignment horizontal="center" vertical="center" wrapText="1"/>
      <protection hidden="1"/>
    </xf>
    <xf numFmtId="0" fontId="23" fillId="5" borderId="28" xfId="0" applyFont="1" applyFill="1" applyBorder="1" applyAlignment="1" applyProtection="1">
      <alignment horizontal="center" vertical="center" wrapText="1"/>
      <protection hidden="1"/>
    </xf>
    <xf numFmtId="167" fontId="23" fillId="5" borderId="7" xfId="0" applyNumberFormat="1" applyFont="1" applyFill="1" applyBorder="1" applyAlignment="1" applyProtection="1">
      <alignment horizontal="center" vertical="center"/>
      <protection hidden="1"/>
    </xf>
    <xf numFmtId="3" fontId="11" fillId="5" borderId="4" xfId="0" applyNumberFormat="1" applyFont="1" applyFill="1" applyBorder="1" applyProtection="1">
      <protection hidden="1"/>
    </xf>
    <xf numFmtId="0" fontId="11" fillId="5" borderId="4" xfId="0" applyFont="1" applyFill="1" applyBorder="1" applyProtection="1">
      <protection hidden="1"/>
    </xf>
    <xf numFmtId="0" fontId="10" fillId="2" borderId="43" xfId="0" applyFont="1" applyFill="1" applyBorder="1" applyProtection="1">
      <protection hidden="1"/>
    </xf>
    <xf numFmtId="0" fontId="10" fillId="2" borderId="38" xfId="0" applyFont="1" applyFill="1" applyBorder="1" applyProtection="1">
      <protection hidden="1"/>
    </xf>
    <xf numFmtId="0" fontId="22" fillId="2" borderId="26" xfId="0" applyFont="1" applyFill="1" applyBorder="1" applyProtection="1">
      <protection hidden="1"/>
    </xf>
    <xf numFmtId="0" fontId="11" fillId="2" borderId="50" xfId="0" applyFont="1" applyFill="1" applyBorder="1" applyProtection="1">
      <protection hidden="1"/>
    </xf>
    <xf numFmtId="2" fontId="10" fillId="7" borderId="35" xfId="0" applyNumberFormat="1" applyFont="1" applyFill="1" applyBorder="1" applyProtection="1">
      <protection hidden="1"/>
    </xf>
    <xf numFmtId="0" fontId="11" fillId="2" borderId="43" xfId="0" applyFont="1" applyFill="1" applyBorder="1" applyProtection="1">
      <protection hidden="1"/>
    </xf>
    <xf numFmtId="0" fontId="11" fillId="2" borderId="12" xfId="0" applyFont="1" applyFill="1" applyBorder="1" applyAlignment="1">
      <alignment horizontal="center" vertical="center" wrapText="1"/>
    </xf>
    <xf numFmtId="167" fontId="42" fillId="0" borderId="0" xfId="0" applyNumberFormat="1" applyFont="1" applyFill="1" applyProtection="1">
      <protection hidden="1"/>
    </xf>
    <xf numFmtId="0" fontId="42" fillId="0" borderId="0" xfId="0" applyFont="1" applyFill="1" applyProtection="1">
      <protection hidden="1"/>
    </xf>
    <xf numFmtId="0" fontId="11" fillId="5" borderId="3" xfId="0" applyFont="1" applyFill="1" applyBorder="1" applyAlignment="1" applyProtection="1">
      <alignment horizontal="center"/>
      <protection hidden="1"/>
    </xf>
    <xf numFmtId="167" fontId="11" fillId="5" borderId="5" xfId="0" applyNumberFormat="1" applyFont="1" applyFill="1" applyBorder="1" applyProtection="1">
      <protection hidden="1"/>
    </xf>
    <xf numFmtId="167" fontId="11" fillId="5" borderId="2" xfId="0" applyNumberFormat="1" applyFont="1" applyFill="1" applyBorder="1" applyAlignment="1" applyProtection="1">
      <alignment horizontal="center"/>
      <protection hidden="1"/>
    </xf>
    <xf numFmtId="167" fontId="11" fillId="5" borderId="3" xfId="0" applyNumberFormat="1" applyFont="1" applyFill="1" applyBorder="1" applyAlignment="1" applyProtection="1">
      <alignment horizontal="center"/>
      <protection hidden="1"/>
    </xf>
    <xf numFmtId="167" fontId="11" fillId="5" borderId="43" xfId="0" applyNumberFormat="1" applyFont="1" applyFill="1" applyBorder="1" applyAlignment="1" applyProtection="1">
      <alignment horizontal="center"/>
      <protection hidden="1"/>
    </xf>
    <xf numFmtId="167" fontId="11" fillId="5" borderId="3" xfId="0" applyNumberFormat="1" applyFont="1" applyFill="1" applyBorder="1" applyAlignment="1">
      <alignment horizontal="right"/>
    </xf>
    <xf numFmtId="167" fontId="10" fillId="5" borderId="9" xfId="0" applyNumberFormat="1" applyFont="1" applyFill="1" applyBorder="1" applyAlignment="1">
      <alignment horizontal="right"/>
    </xf>
    <xf numFmtId="167" fontId="10" fillId="5" borderId="46" xfId="0" applyNumberFormat="1" applyFont="1" applyFill="1" applyBorder="1" applyAlignment="1">
      <alignment horizontal="right"/>
    </xf>
    <xf numFmtId="167" fontId="11" fillId="4" borderId="53" xfId="0" applyNumberFormat="1" applyFont="1" applyFill="1" applyBorder="1" applyAlignment="1">
      <alignment horizontal="right"/>
    </xf>
    <xf numFmtId="167" fontId="10" fillId="5" borderId="3" xfId="0" applyNumberFormat="1" applyFont="1" applyFill="1" applyBorder="1" applyAlignment="1">
      <alignment horizontal="right"/>
    </xf>
    <xf numFmtId="167" fontId="11" fillId="4" borderId="20" xfId="0" applyNumberFormat="1" applyFont="1" applyFill="1" applyBorder="1" applyAlignment="1">
      <alignment horizontal="right"/>
    </xf>
    <xf numFmtId="167" fontId="10" fillId="2" borderId="8" xfId="0" applyNumberFormat="1" applyFont="1" applyFill="1" applyBorder="1" applyAlignment="1">
      <alignment horizontal="right" vertical="center" wrapText="1"/>
    </xf>
    <xf numFmtId="167" fontId="10" fillId="2" borderId="55" xfId="0" applyNumberFormat="1" applyFont="1" applyFill="1" applyBorder="1" applyAlignment="1">
      <alignment horizontal="right" vertical="center" wrapText="1"/>
    </xf>
    <xf numFmtId="167" fontId="10" fillId="2" borderId="12" xfId="0" applyNumberFormat="1" applyFont="1" applyFill="1" applyBorder="1" applyAlignment="1">
      <alignment horizontal="right" vertical="center" wrapText="1"/>
    </xf>
    <xf numFmtId="167" fontId="10" fillId="2" borderId="9" xfId="0" applyNumberFormat="1" applyFont="1" applyFill="1" applyBorder="1" applyAlignment="1">
      <alignment vertical="center" wrapText="1"/>
    </xf>
    <xf numFmtId="167" fontId="10" fillId="4" borderId="2" xfId="0" applyNumberFormat="1" applyFont="1" applyFill="1" applyBorder="1"/>
    <xf numFmtId="167" fontId="10" fillId="5" borderId="2" xfId="0" applyNumberFormat="1" applyFont="1" applyFill="1" applyBorder="1"/>
    <xf numFmtId="167" fontId="10" fillId="4" borderId="8" xfId="0" applyNumberFormat="1" applyFont="1" applyFill="1" applyBorder="1"/>
    <xf numFmtId="167" fontId="10" fillId="5" borderId="8" xfId="0" applyNumberFormat="1" applyFont="1" applyFill="1" applyBorder="1"/>
    <xf numFmtId="167" fontId="10" fillId="4" borderId="55" xfId="0" applyNumberFormat="1" applyFont="1" applyFill="1" applyBorder="1"/>
    <xf numFmtId="167" fontId="10" fillId="5" borderId="55" xfId="0" applyNumberFormat="1" applyFont="1" applyFill="1" applyBorder="1"/>
    <xf numFmtId="167" fontId="11" fillId="5" borderId="56" xfId="0" applyNumberFormat="1" applyFont="1" applyFill="1" applyBorder="1"/>
    <xf numFmtId="167" fontId="10" fillId="5" borderId="56" xfId="0" applyNumberFormat="1" applyFont="1" applyFill="1" applyBorder="1"/>
    <xf numFmtId="167" fontId="11" fillId="5" borderId="2" xfId="0" applyNumberFormat="1" applyFont="1" applyFill="1" applyBorder="1"/>
    <xf numFmtId="167" fontId="10" fillId="5" borderId="44" xfId="0" applyNumberFormat="1" applyFont="1" applyFill="1" applyBorder="1"/>
    <xf numFmtId="167" fontId="11" fillId="5" borderId="47" xfId="0" applyNumberFormat="1" applyFont="1" applyFill="1" applyBorder="1" applyAlignment="1"/>
    <xf numFmtId="167" fontId="11" fillId="5" borderId="19" xfId="0" applyNumberFormat="1" applyFont="1" applyFill="1" applyBorder="1" applyAlignment="1"/>
    <xf numFmtId="0" fontId="23" fillId="2" borderId="59" xfId="0" applyFont="1" applyFill="1" applyBorder="1" applyAlignment="1" applyProtection="1">
      <alignment horizontal="center" vertical="center"/>
      <protection hidden="1"/>
    </xf>
    <xf numFmtId="0" fontId="23" fillId="2" borderId="60" xfId="0" applyFont="1" applyFill="1" applyBorder="1" applyAlignment="1" applyProtection="1">
      <alignment horizontal="center" vertical="center"/>
      <protection hidden="1"/>
    </xf>
    <xf numFmtId="167" fontId="10" fillId="0" borderId="0" xfId="0" applyNumberFormat="1" applyFont="1" applyProtection="1">
      <protection hidden="1"/>
    </xf>
    <xf numFmtId="0" fontId="23" fillId="7" borderId="61" xfId="0" applyFont="1" applyFill="1" applyBorder="1" applyAlignment="1" applyProtection="1">
      <alignment horizontal="center" vertical="center" wrapText="1"/>
      <protection hidden="1"/>
    </xf>
    <xf numFmtId="0" fontId="11" fillId="2" borderId="13" xfId="0" applyFont="1" applyFill="1" applyBorder="1" applyAlignment="1" applyProtection="1">
      <alignment horizontal="center" vertical="center" wrapText="1"/>
      <protection hidden="1"/>
    </xf>
    <xf numFmtId="0" fontId="11" fillId="0" borderId="0" xfId="0" applyFont="1" applyAlignment="1">
      <alignment horizontal="left"/>
    </xf>
    <xf numFmtId="167" fontId="11" fillId="3" borderId="3" xfId="0" applyNumberFormat="1" applyFont="1" applyFill="1" applyBorder="1" applyAlignment="1" applyProtection="1">
      <alignment horizontal="right"/>
      <protection hidden="1"/>
    </xf>
    <xf numFmtId="167" fontId="10" fillId="3" borderId="3" xfId="0" applyNumberFormat="1" applyFont="1" applyFill="1" applyBorder="1" applyAlignment="1" applyProtection="1">
      <alignment horizontal="right"/>
      <protection hidden="1"/>
    </xf>
    <xf numFmtId="167" fontId="11" fillId="0" borderId="0" xfId="0" applyNumberFormat="1" applyFont="1" applyFill="1"/>
    <xf numFmtId="0" fontId="11" fillId="3" borderId="13" xfId="0" applyFont="1" applyFill="1" applyBorder="1" applyAlignment="1" applyProtection="1">
      <alignment horizontal="center" vertical="center" wrapText="1"/>
      <protection hidden="1"/>
    </xf>
    <xf numFmtId="14" fontId="10" fillId="0" borderId="0" xfId="0" applyNumberFormat="1" applyFont="1"/>
    <xf numFmtId="0" fontId="10" fillId="0" borderId="0" xfId="0" applyFont="1" applyAlignment="1">
      <alignment horizontal="right"/>
    </xf>
    <xf numFmtId="167" fontId="10" fillId="3" borderId="9" xfId="0" applyNumberFormat="1" applyFont="1" applyFill="1" applyBorder="1" applyAlignment="1" applyProtection="1">
      <alignment horizontal="right"/>
      <protection hidden="1"/>
    </xf>
    <xf numFmtId="167" fontId="11" fillId="3" borderId="9" xfId="0" applyNumberFormat="1" applyFont="1" applyFill="1" applyBorder="1" applyAlignment="1" applyProtection="1">
      <alignment horizontal="right"/>
      <protection hidden="1"/>
    </xf>
    <xf numFmtId="167" fontId="42" fillId="0" borderId="0" xfId="0" applyNumberFormat="1" applyFont="1"/>
    <xf numFmtId="0" fontId="11" fillId="2" borderId="13" xfId="0" applyFont="1" applyFill="1" applyBorder="1" applyAlignment="1" applyProtection="1">
      <alignment horizontal="center"/>
      <protection hidden="1"/>
    </xf>
    <xf numFmtId="4" fontId="11" fillId="2" borderId="3" xfId="0" applyNumberFormat="1" applyFont="1" applyFill="1" applyBorder="1" applyProtection="1">
      <protection hidden="1"/>
    </xf>
    <xf numFmtId="165" fontId="11" fillId="3" borderId="9" xfId="0" applyNumberFormat="1" applyFont="1" applyFill="1" applyBorder="1"/>
    <xf numFmtId="0" fontId="13" fillId="0" borderId="9" xfId="0" applyFont="1" applyFill="1" applyBorder="1" applyProtection="1">
      <protection hidden="1"/>
    </xf>
    <xf numFmtId="2" fontId="10" fillId="7" borderId="34" xfId="0" applyNumberFormat="1" applyFont="1" applyFill="1" applyBorder="1" applyProtection="1">
      <protection hidden="1"/>
    </xf>
    <xf numFmtId="0" fontId="23" fillId="7" borderId="62" xfId="0" applyFont="1" applyFill="1" applyBorder="1" applyAlignment="1" applyProtection="1">
      <alignment horizontal="center" vertical="center" wrapText="1"/>
      <protection hidden="1"/>
    </xf>
    <xf numFmtId="167" fontId="10" fillId="7" borderId="2" xfId="0" applyNumberFormat="1" applyFont="1" applyFill="1" applyBorder="1" applyProtection="1">
      <protection hidden="1"/>
    </xf>
    <xf numFmtId="167" fontId="10" fillId="7" borderId="12" xfId="0" applyNumberFormat="1" applyFont="1" applyFill="1" applyBorder="1" applyProtection="1">
      <protection hidden="1"/>
    </xf>
    <xf numFmtId="167" fontId="11" fillId="7" borderId="63" xfId="0" applyNumberFormat="1" applyFont="1" applyFill="1" applyBorder="1" applyProtection="1">
      <protection hidden="1"/>
    </xf>
    <xf numFmtId="2" fontId="10" fillId="7" borderId="64" xfId="0" applyNumberFormat="1" applyFont="1" applyFill="1" applyBorder="1" applyProtection="1">
      <protection hidden="1"/>
    </xf>
    <xf numFmtId="0" fontId="13" fillId="0" borderId="6" xfId="0" applyFont="1" applyFill="1" applyBorder="1" applyAlignment="1" applyProtection="1">
      <alignment horizontal="center"/>
      <protection hidden="1"/>
    </xf>
    <xf numFmtId="0" fontId="13" fillId="0" borderId="38" xfId="0" applyFont="1" applyFill="1" applyBorder="1" applyProtection="1">
      <protection hidden="1"/>
    </xf>
    <xf numFmtId="167" fontId="13" fillId="0" borderId="2" xfId="0" applyNumberFormat="1" applyFont="1" applyFill="1" applyBorder="1" applyProtection="1">
      <protection hidden="1"/>
    </xf>
    <xf numFmtId="2" fontId="13" fillId="0" borderId="35" xfId="0" applyNumberFormat="1" applyFont="1" applyFill="1" applyBorder="1" applyProtection="1">
      <protection hidden="1"/>
    </xf>
    <xf numFmtId="0" fontId="13" fillId="0" borderId="9" xfId="0" applyFont="1" applyFill="1" applyBorder="1" applyAlignment="1" applyProtection="1">
      <alignment horizontal="center"/>
      <protection hidden="1"/>
    </xf>
    <xf numFmtId="0" fontId="13" fillId="0" borderId="7" xfId="0" applyFont="1" applyFill="1" applyBorder="1" applyProtection="1">
      <protection hidden="1"/>
    </xf>
    <xf numFmtId="0" fontId="13" fillId="0" borderId="0" xfId="0" applyFont="1" applyFill="1" applyProtection="1">
      <protection hidden="1"/>
    </xf>
    <xf numFmtId="0" fontId="11" fillId="3" borderId="13" xfId="0" applyFont="1" applyFill="1" applyBorder="1" applyAlignment="1">
      <alignment horizontal="center"/>
    </xf>
    <xf numFmtId="0" fontId="11" fillId="2" borderId="13" xfId="0" applyFont="1" applyFill="1" applyBorder="1" applyAlignment="1">
      <alignment horizontal="left"/>
    </xf>
    <xf numFmtId="0" fontId="11" fillId="2" borderId="13" xfId="0" applyFont="1" applyFill="1" applyBorder="1" applyAlignment="1">
      <alignment horizontal="center"/>
    </xf>
    <xf numFmtId="0" fontId="10" fillId="2" borderId="3" xfId="0" applyFont="1" applyFill="1" applyBorder="1" applyAlignment="1"/>
    <xf numFmtId="167" fontId="10" fillId="2" borderId="3" xfId="0" applyNumberFormat="1" applyFont="1" applyFill="1" applyBorder="1" applyAlignment="1"/>
    <xf numFmtId="167" fontId="11" fillId="3" borderId="3" xfId="0" applyNumberFormat="1" applyFont="1" applyFill="1" applyBorder="1" applyAlignment="1"/>
    <xf numFmtId="0" fontId="10" fillId="0" borderId="42" xfId="0" applyFont="1" applyBorder="1" applyAlignment="1">
      <alignment wrapText="1"/>
    </xf>
    <xf numFmtId="0" fontId="10" fillId="0" borderId="0" xfId="0" applyFont="1" applyAlignment="1">
      <alignment wrapText="1"/>
    </xf>
    <xf numFmtId="0" fontId="10" fillId="2" borderId="9" xfId="0" applyFont="1" applyFill="1" applyBorder="1" applyAlignment="1"/>
    <xf numFmtId="167" fontId="10" fillId="2" borderId="9" xfId="0" applyNumberFormat="1" applyFont="1" applyFill="1" applyBorder="1" applyAlignment="1"/>
    <xf numFmtId="0" fontId="10" fillId="2" borderId="9" xfId="0" applyFont="1" applyFill="1" applyBorder="1" applyAlignment="1">
      <alignment wrapText="1"/>
    </xf>
    <xf numFmtId="167" fontId="10" fillId="2" borderId="9" xfId="0" applyNumberFormat="1" applyFont="1" applyFill="1" applyBorder="1" applyAlignment="1">
      <alignment wrapText="1"/>
    </xf>
    <xf numFmtId="0" fontId="10" fillId="2" borderId="13" xfId="0" applyFont="1" applyFill="1" applyBorder="1" applyAlignment="1"/>
    <xf numFmtId="167" fontId="10" fillId="2" borderId="13" xfId="0" applyNumberFormat="1" applyFont="1" applyFill="1" applyBorder="1" applyAlignment="1"/>
    <xf numFmtId="0" fontId="11" fillId="2" borderId="3" xfId="0" applyFont="1" applyFill="1" applyBorder="1" applyAlignment="1"/>
    <xf numFmtId="167" fontId="11" fillId="2" borderId="3" xfId="0" applyNumberFormat="1" applyFont="1" applyFill="1" applyBorder="1" applyAlignment="1"/>
    <xf numFmtId="0" fontId="37" fillId="0" borderId="0" xfId="0" applyFont="1" applyAlignment="1">
      <alignment vertical="center"/>
    </xf>
    <xf numFmtId="167" fontId="13" fillId="0" borderId="3" xfId="0" applyNumberFormat="1" applyFont="1" applyFill="1" applyBorder="1" applyProtection="1">
      <protection hidden="1"/>
    </xf>
    <xf numFmtId="0" fontId="23" fillId="7" borderId="65" xfId="0" applyFont="1" applyFill="1" applyBorder="1" applyAlignment="1" applyProtection="1">
      <alignment horizontal="center" vertical="center" wrapText="1"/>
      <protection hidden="1"/>
    </xf>
    <xf numFmtId="167" fontId="10" fillId="7" borderId="22" xfId="0" applyNumberFormat="1" applyFont="1" applyFill="1" applyBorder="1" applyProtection="1">
      <protection hidden="1"/>
    </xf>
    <xf numFmtId="167" fontId="13" fillId="0" borderId="22" xfId="0" applyNumberFormat="1" applyFont="1" applyFill="1" applyBorder="1" applyProtection="1">
      <protection hidden="1"/>
    </xf>
    <xf numFmtId="167" fontId="10" fillId="7" borderId="14" xfId="0" applyNumberFormat="1" applyFont="1" applyFill="1" applyBorder="1" applyProtection="1">
      <protection hidden="1"/>
    </xf>
    <xf numFmtId="167" fontId="11" fillId="7" borderId="17" xfId="0" applyNumberFormat="1" applyFont="1" applyFill="1" applyBorder="1" applyProtection="1">
      <protection hidden="1"/>
    </xf>
    <xf numFmtId="0" fontId="23" fillId="7" borderId="66" xfId="0" applyFont="1" applyFill="1" applyBorder="1" applyAlignment="1" applyProtection="1">
      <alignment horizontal="center" vertical="center" wrapText="1"/>
      <protection hidden="1"/>
    </xf>
    <xf numFmtId="167" fontId="13" fillId="0" borderId="67" xfId="0" applyNumberFormat="1" applyFont="1" applyFill="1" applyBorder="1" applyProtection="1">
      <protection hidden="1"/>
    </xf>
    <xf numFmtId="167" fontId="11" fillId="7" borderId="69" xfId="0" applyNumberFormat="1" applyFont="1" applyFill="1" applyBorder="1" applyProtection="1">
      <protection hidden="1"/>
    </xf>
    <xf numFmtId="167" fontId="11" fillId="7" borderId="67" xfId="0" applyNumberFormat="1" applyFont="1" applyFill="1" applyBorder="1" applyProtection="1">
      <protection hidden="1"/>
    </xf>
    <xf numFmtId="167" fontId="11" fillId="7" borderId="68" xfId="0" applyNumberFormat="1" applyFont="1" applyFill="1" applyBorder="1" applyProtection="1">
      <protection hidden="1"/>
    </xf>
    <xf numFmtId="0" fontId="35" fillId="0" borderId="0" xfId="0" applyFont="1" applyFill="1" applyAlignment="1">
      <alignment vertical="center" wrapText="1"/>
    </xf>
    <xf numFmtId="0" fontId="28" fillId="0" borderId="0" xfId="0" applyFont="1" applyFill="1" applyAlignment="1">
      <alignment horizontal="left" vertical="center"/>
    </xf>
    <xf numFmtId="0" fontId="28" fillId="0" borderId="0" xfId="0" applyFont="1" applyFill="1" applyAlignment="1">
      <alignment horizontal="right" vertical="center"/>
    </xf>
    <xf numFmtId="0" fontId="10" fillId="0" borderId="0" xfId="0" applyFont="1" applyFill="1" applyAlignment="1">
      <alignment vertical="center"/>
    </xf>
    <xf numFmtId="0" fontId="10" fillId="0" borderId="0" xfId="0" applyFont="1" applyFill="1" applyAlignment="1">
      <alignment vertical="center" wrapText="1"/>
    </xf>
    <xf numFmtId="0" fontId="10" fillId="0" borderId="0" xfId="0" applyFont="1" applyFill="1" applyAlignment="1">
      <alignment horizontal="left" vertical="center" wrapText="1"/>
    </xf>
    <xf numFmtId="0" fontId="36" fillId="0" borderId="0" xfId="0" applyFont="1" applyFill="1" applyAlignment="1">
      <alignment vertical="center"/>
    </xf>
    <xf numFmtId="0" fontId="11" fillId="2" borderId="10" xfId="0" applyFont="1" applyFill="1" applyBorder="1" applyAlignment="1">
      <alignment horizontal="left" wrapText="1"/>
    </xf>
    <xf numFmtId="0" fontId="10" fillId="2" borderId="6" xfId="0" applyFont="1" applyFill="1" applyBorder="1" applyAlignment="1">
      <alignment horizontal="left" wrapText="1"/>
    </xf>
    <xf numFmtId="0" fontId="10" fillId="2" borderId="51" xfId="0" applyFont="1" applyFill="1" applyBorder="1" applyAlignment="1">
      <alignment horizontal="left" wrapText="1"/>
    </xf>
    <xf numFmtId="0" fontId="10" fillId="2" borderId="10" xfId="0" applyFont="1" applyFill="1" applyBorder="1" applyAlignment="1">
      <alignment horizontal="left" wrapText="1"/>
    </xf>
    <xf numFmtId="0" fontId="11" fillId="2" borderId="1" xfId="0" applyFont="1" applyFill="1" applyBorder="1" applyAlignment="1">
      <alignment wrapText="1"/>
    </xf>
    <xf numFmtId="0" fontId="11" fillId="2" borderId="10" xfId="0" applyFont="1" applyFill="1" applyBorder="1" applyAlignment="1">
      <alignment wrapText="1"/>
    </xf>
    <xf numFmtId="4" fontId="13" fillId="0" borderId="9" xfId="0" applyNumberFormat="1" applyFont="1" applyFill="1" applyBorder="1" applyProtection="1">
      <protection hidden="1"/>
    </xf>
    <xf numFmtId="0" fontId="44" fillId="0" borderId="0" xfId="0" applyFont="1" applyFill="1"/>
    <xf numFmtId="0" fontId="13" fillId="0" borderId="0" xfId="0" applyFont="1" applyFill="1"/>
    <xf numFmtId="0" fontId="13" fillId="0" borderId="9" xfId="0" applyFont="1" applyFill="1" applyBorder="1"/>
    <xf numFmtId="3" fontId="13" fillId="0" borderId="9" xfId="0" applyNumberFormat="1" applyFont="1" applyFill="1" applyBorder="1"/>
    <xf numFmtId="166" fontId="14" fillId="0" borderId="0" xfId="0" applyNumberFormat="1" applyFont="1" applyFill="1" applyBorder="1"/>
    <xf numFmtId="0" fontId="43" fillId="0" borderId="0" xfId="0" applyFont="1" applyFill="1"/>
    <xf numFmtId="0" fontId="10" fillId="7" borderId="13" xfId="0" applyFont="1" applyFill="1" applyBorder="1" applyAlignment="1" applyProtection="1">
      <alignment horizontal="center" vertical="center" wrapText="1"/>
      <protection hidden="1"/>
    </xf>
    <xf numFmtId="167" fontId="10" fillId="7" borderId="3" xfId="0" applyNumberFormat="1" applyFont="1" applyFill="1" applyBorder="1" applyProtection="1">
      <protection hidden="1"/>
    </xf>
    <xf numFmtId="167" fontId="10" fillId="7" borderId="9" xfId="0" applyNumberFormat="1" applyFont="1" applyFill="1" applyBorder="1" applyProtection="1">
      <protection hidden="1"/>
    </xf>
    <xf numFmtId="167" fontId="10" fillId="7" borderId="13" xfId="0" applyNumberFormat="1" applyFont="1" applyFill="1" applyBorder="1" applyProtection="1">
      <protection hidden="1"/>
    </xf>
    <xf numFmtId="167" fontId="11" fillId="7" borderId="3" xfId="0" applyNumberFormat="1" applyFont="1" applyFill="1" applyBorder="1" applyProtection="1">
      <protection hidden="1"/>
    </xf>
    <xf numFmtId="0" fontId="10" fillId="2" borderId="46" xfId="0" applyFont="1" applyFill="1" applyBorder="1" applyAlignment="1">
      <alignment vertical="center" wrapText="1"/>
    </xf>
    <xf numFmtId="167" fontId="10" fillId="2" borderId="46" xfId="0" applyNumberFormat="1" applyFont="1" applyFill="1" applyBorder="1" applyAlignment="1">
      <alignment vertical="center" wrapText="1"/>
    </xf>
    <xf numFmtId="167" fontId="10" fillId="3" borderId="3" xfId="0" applyNumberFormat="1" applyFont="1" applyFill="1" applyBorder="1" applyAlignment="1"/>
    <xf numFmtId="167" fontId="10" fillId="3" borderId="9" xfId="0" applyNumberFormat="1" applyFont="1" applyFill="1" applyBorder="1" applyAlignment="1"/>
    <xf numFmtId="167" fontId="10" fillId="3" borderId="9" xfId="0" applyNumberFormat="1" applyFont="1" applyFill="1" applyBorder="1" applyAlignment="1">
      <alignment wrapText="1"/>
    </xf>
    <xf numFmtId="167" fontId="10" fillId="3" borderId="9" xfId="0" applyNumberFormat="1" applyFont="1" applyFill="1" applyBorder="1" applyAlignment="1">
      <alignment vertical="center" wrapText="1"/>
    </xf>
    <xf numFmtId="167" fontId="10" fillId="3" borderId="46" xfId="0" applyNumberFormat="1" applyFont="1" applyFill="1" applyBorder="1" applyAlignment="1">
      <alignment vertical="center" wrapText="1"/>
    </xf>
    <xf numFmtId="167" fontId="10" fillId="3" borderId="13" xfId="0" applyNumberFormat="1" applyFont="1" applyFill="1" applyBorder="1" applyAlignment="1"/>
    <xf numFmtId="3" fontId="22" fillId="0" borderId="0" xfId="0" applyNumberFormat="1" applyFont="1" applyAlignment="1" applyProtection="1">
      <alignment horizontal="center" wrapText="1"/>
      <protection hidden="1"/>
    </xf>
    <xf numFmtId="167" fontId="10" fillId="0" borderId="3" xfId="0" applyNumberFormat="1" applyFont="1" applyBorder="1" applyProtection="1">
      <protection hidden="1"/>
    </xf>
    <xf numFmtId="167" fontId="10" fillId="0" borderId="13" xfId="0" applyNumberFormat="1" applyFont="1" applyBorder="1" applyProtection="1">
      <protection hidden="1"/>
    </xf>
    <xf numFmtId="167" fontId="0" fillId="0" borderId="0" xfId="0" applyNumberFormat="1" applyFont="1" applyProtection="1">
      <protection hidden="1"/>
    </xf>
    <xf numFmtId="167" fontId="22" fillId="0" borderId="0" xfId="0" applyNumberFormat="1" applyFont="1" applyProtection="1">
      <protection hidden="1"/>
    </xf>
    <xf numFmtId="167" fontId="10" fillId="0" borderId="0" xfId="0" applyNumberFormat="1" applyFont="1" applyFill="1" applyProtection="1">
      <protection hidden="1"/>
    </xf>
    <xf numFmtId="14" fontId="10" fillId="0" borderId="0" xfId="0" applyNumberFormat="1" applyFont="1" applyAlignment="1">
      <alignment horizontal="right"/>
    </xf>
    <xf numFmtId="167" fontId="10" fillId="0" borderId="0" xfId="0" applyNumberFormat="1" applyFont="1"/>
    <xf numFmtId="0" fontId="11" fillId="0" borderId="0" xfId="0" applyFont="1" applyAlignment="1">
      <alignment horizontal="right"/>
    </xf>
    <xf numFmtId="167" fontId="11" fillId="0" borderId="0" xfId="0" applyNumberFormat="1" applyFont="1"/>
    <xf numFmtId="0" fontId="10" fillId="2" borderId="26" xfId="0" applyFont="1" applyFill="1" applyBorder="1" applyProtection="1">
      <protection hidden="1"/>
    </xf>
    <xf numFmtId="0" fontId="11" fillId="2" borderId="49" xfId="0" applyFont="1" applyFill="1" applyBorder="1" applyAlignment="1">
      <alignment horizontal="center" vertical="center" wrapText="1"/>
    </xf>
    <xf numFmtId="167" fontId="10" fillId="3" borderId="9" xfId="0" applyNumberFormat="1" applyFont="1" applyFill="1" applyBorder="1" applyAlignment="1">
      <alignment vertical="center"/>
    </xf>
    <xf numFmtId="167" fontId="10" fillId="3" borderId="46" xfId="0" applyNumberFormat="1" applyFont="1" applyFill="1" applyBorder="1" applyAlignment="1">
      <alignment vertical="center"/>
    </xf>
    <xf numFmtId="167" fontId="11" fillId="7" borderId="70" xfId="0" applyNumberFormat="1" applyFont="1" applyFill="1" applyBorder="1" applyProtection="1">
      <protection hidden="1"/>
    </xf>
    <xf numFmtId="167" fontId="11" fillId="8" borderId="2" xfId="0" applyNumberFormat="1" applyFont="1" applyFill="1" applyBorder="1" applyAlignment="1" applyProtection="1">
      <alignment horizontal="center"/>
      <protection hidden="1"/>
    </xf>
    <xf numFmtId="167" fontId="11" fillId="8" borderId="72" xfId="0" applyNumberFormat="1" applyFont="1" applyFill="1" applyBorder="1" applyAlignment="1" applyProtection="1">
      <alignment horizontal="center"/>
      <protection hidden="1"/>
    </xf>
    <xf numFmtId="166" fontId="10" fillId="0" borderId="9" xfId="0" applyNumberFormat="1" applyFont="1" applyFill="1" applyBorder="1"/>
    <xf numFmtId="0" fontId="11" fillId="3" borderId="13" xfId="0" applyFont="1" applyFill="1" applyBorder="1" applyAlignment="1">
      <alignment horizontal="center" vertical="center" wrapText="1"/>
    </xf>
    <xf numFmtId="0" fontId="11" fillId="3" borderId="12" xfId="0" applyFont="1" applyFill="1" applyBorder="1" applyAlignment="1">
      <alignment horizontal="center" vertical="center" wrapText="1"/>
    </xf>
    <xf numFmtId="167" fontId="10" fillId="3" borderId="9" xfId="0" applyNumberFormat="1" applyFont="1" applyFill="1" applyBorder="1" applyAlignment="1">
      <alignment horizontal="right" vertical="center" wrapText="1"/>
    </xf>
    <xf numFmtId="167" fontId="10" fillId="3" borderId="8" xfId="0" applyNumberFormat="1" applyFont="1" applyFill="1" applyBorder="1" applyAlignment="1">
      <alignment horizontal="right" vertical="center" wrapText="1"/>
    </xf>
    <xf numFmtId="167" fontId="10" fillId="3" borderId="46" xfId="0" applyNumberFormat="1" applyFont="1" applyFill="1" applyBorder="1" applyAlignment="1">
      <alignment horizontal="right" vertical="center" wrapText="1"/>
    </xf>
    <xf numFmtId="167" fontId="10" fillId="3" borderId="55" xfId="0" applyNumberFormat="1" applyFont="1" applyFill="1" applyBorder="1" applyAlignment="1">
      <alignment horizontal="right" vertical="center" wrapText="1"/>
    </xf>
    <xf numFmtId="167" fontId="10" fillId="3" borderId="13" xfId="0" applyNumberFormat="1" applyFont="1" applyFill="1" applyBorder="1" applyAlignment="1">
      <alignment horizontal="right" vertical="center" wrapText="1"/>
    </xf>
    <xf numFmtId="167" fontId="10" fillId="3" borderId="12" xfId="0" applyNumberFormat="1" applyFont="1" applyFill="1" applyBorder="1" applyAlignment="1">
      <alignment horizontal="right" vertical="center" wrapText="1"/>
    </xf>
    <xf numFmtId="167" fontId="11" fillId="3" borderId="9" xfId="0" applyNumberFormat="1" applyFont="1" applyFill="1" applyBorder="1" applyAlignment="1">
      <alignment horizontal="right" vertical="center" wrapText="1"/>
    </xf>
    <xf numFmtId="167" fontId="11" fillId="3" borderId="8" xfId="0" applyNumberFormat="1" applyFont="1" applyFill="1" applyBorder="1" applyAlignment="1">
      <alignment horizontal="right" vertical="center" wrapText="1"/>
    </xf>
    <xf numFmtId="0" fontId="10" fillId="0" borderId="0" xfId="0" applyFont="1" applyFill="1" applyBorder="1" applyAlignment="1" applyProtection="1">
      <alignment horizontal="left"/>
      <protection hidden="1"/>
    </xf>
    <xf numFmtId="0" fontId="10" fillId="0" borderId="0" xfId="0" applyFont="1" applyFill="1" applyAlignment="1" applyProtection="1">
      <alignment horizontal="left"/>
      <protection hidden="1"/>
    </xf>
    <xf numFmtId="3" fontId="10" fillId="0" borderId="0" xfId="0" applyNumberFormat="1" applyFont="1" applyFill="1" applyBorder="1" applyAlignment="1" applyProtection="1">
      <alignment horizontal="left"/>
      <protection hidden="1"/>
    </xf>
    <xf numFmtId="3" fontId="10" fillId="0" borderId="0" xfId="0" applyNumberFormat="1" applyFont="1" applyFill="1" applyAlignment="1" applyProtection="1">
      <alignment horizontal="left"/>
      <protection hidden="1"/>
    </xf>
    <xf numFmtId="167" fontId="42" fillId="0" borderId="0" xfId="0" applyNumberFormat="1" applyFont="1" applyFill="1" applyAlignment="1" applyProtection="1">
      <alignment horizontal="left"/>
      <protection hidden="1"/>
    </xf>
    <xf numFmtId="167" fontId="10" fillId="0" borderId="9" xfId="0" applyNumberFormat="1" applyFont="1" applyFill="1" applyBorder="1" applyProtection="1">
      <protection hidden="1"/>
    </xf>
    <xf numFmtId="167" fontId="10" fillId="0" borderId="3" xfId="0" applyNumberFormat="1" applyFont="1" applyFill="1" applyBorder="1" applyProtection="1">
      <protection hidden="1"/>
    </xf>
    <xf numFmtId="167" fontId="10" fillId="0" borderId="13" xfId="0" applyNumberFormat="1" applyFont="1" applyFill="1" applyBorder="1" applyProtection="1">
      <protection hidden="1"/>
    </xf>
    <xf numFmtId="4" fontId="10" fillId="0" borderId="9" xfId="0" applyNumberFormat="1" applyFont="1" applyFill="1" applyBorder="1" applyProtection="1">
      <protection hidden="1"/>
    </xf>
    <xf numFmtId="4" fontId="10" fillId="0" borderId="3" xfId="0" applyNumberFormat="1" applyFont="1" applyFill="1" applyBorder="1" applyProtection="1">
      <protection hidden="1"/>
    </xf>
    <xf numFmtId="0" fontId="10" fillId="0" borderId="13" xfId="0" applyFont="1" applyFill="1" applyBorder="1" applyAlignment="1" applyProtection="1">
      <alignment horizontal="center" vertical="center" wrapText="1"/>
      <protection hidden="1"/>
    </xf>
    <xf numFmtId="4" fontId="10" fillId="0" borderId="13" xfId="0" applyNumberFormat="1" applyFont="1" applyFill="1" applyBorder="1" applyProtection="1">
      <protection hidden="1"/>
    </xf>
    <xf numFmtId="0" fontId="10" fillId="0" borderId="3" xfId="0" applyFont="1" applyFill="1" applyBorder="1" applyAlignment="1" applyProtection="1">
      <alignment horizontal="center"/>
      <protection hidden="1"/>
    </xf>
    <xf numFmtId="0" fontId="23" fillId="5" borderId="27"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wrapText="1"/>
      <protection hidden="1"/>
    </xf>
    <xf numFmtId="0" fontId="10" fillId="2" borderId="8" xfId="0" applyFont="1" applyFill="1" applyBorder="1"/>
    <xf numFmtId="0" fontId="11" fillId="2" borderId="35" xfId="0" applyFont="1" applyFill="1" applyBorder="1" applyAlignment="1">
      <alignment wrapText="1"/>
    </xf>
    <xf numFmtId="167" fontId="11" fillId="2" borderId="8" xfId="0" applyNumberFormat="1" applyFont="1" applyFill="1" applyBorder="1" applyAlignment="1">
      <alignment horizontal="left" vertical="center" wrapText="1"/>
    </xf>
    <xf numFmtId="167" fontId="46" fillId="5" borderId="56" xfId="0" applyNumberFormat="1" applyFont="1" applyFill="1" applyBorder="1"/>
    <xf numFmtId="0" fontId="52" fillId="0" borderId="0" xfId="0" applyFont="1" applyFill="1" applyBorder="1" applyAlignment="1">
      <alignment horizontal="left"/>
    </xf>
    <xf numFmtId="167" fontId="52" fillId="0" borderId="0" xfId="0" applyNumberFormat="1" applyFont="1" applyFill="1" applyBorder="1" applyAlignment="1">
      <alignment horizontal="center"/>
    </xf>
    <xf numFmtId="167" fontId="16" fillId="0" borderId="0" xfId="0" applyNumberFormat="1" applyFont="1"/>
    <xf numFmtId="0" fontId="16" fillId="0" borderId="0" xfId="0" applyFont="1" applyFill="1" applyBorder="1" applyAlignment="1">
      <alignment horizontal="left"/>
    </xf>
    <xf numFmtId="165" fontId="10" fillId="3" borderId="9" xfId="0" applyNumberFormat="1" applyFont="1" applyFill="1" applyBorder="1"/>
    <xf numFmtId="165" fontId="13" fillId="0" borderId="9" xfId="0" applyNumberFormat="1" applyFont="1" applyFill="1" applyBorder="1"/>
    <xf numFmtId="0" fontId="10" fillId="0" borderId="0" xfId="0" applyFont="1" applyFill="1" applyAlignment="1">
      <alignment horizontal="center"/>
    </xf>
    <xf numFmtId="0" fontId="13" fillId="0" borderId="0" xfId="0" applyFont="1" applyFill="1" applyAlignment="1">
      <alignment horizontal="center"/>
    </xf>
    <xf numFmtId="0" fontId="51" fillId="0" borderId="0" xfId="41" applyFont="1"/>
    <xf numFmtId="0" fontId="5" fillId="0" borderId="0" xfId="41" quotePrefix="1"/>
    <xf numFmtId="0" fontId="5" fillId="0" borderId="0" xfId="41"/>
    <xf numFmtId="0" fontId="0" fillId="0" borderId="0" xfId="0" applyFont="1"/>
    <xf numFmtId="0" fontId="10" fillId="10" borderId="9" xfId="40" applyNumberFormat="1" applyFont="1" applyBorder="1"/>
    <xf numFmtId="3" fontId="13" fillId="0" borderId="0" xfId="0" applyNumberFormat="1" applyFont="1" applyFill="1"/>
    <xf numFmtId="0" fontId="13" fillId="0" borderId="0" xfId="0" applyFont="1"/>
    <xf numFmtId="3" fontId="13" fillId="0" borderId="0" xfId="0" applyNumberFormat="1" applyFont="1"/>
    <xf numFmtId="0" fontId="10" fillId="2" borderId="54" xfId="0" applyFont="1" applyFill="1" applyBorder="1" applyProtection="1">
      <protection hidden="1"/>
    </xf>
    <xf numFmtId="3" fontId="10" fillId="0" borderId="6" xfId="0" applyNumberFormat="1" applyFont="1" applyBorder="1"/>
    <xf numFmtId="2" fontId="10" fillId="0" borderId="32" xfId="0" applyNumberFormat="1" applyFont="1" applyBorder="1"/>
    <xf numFmtId="0" fontId="10" fillId="0" borderId="6" xfId="0" applyFont="1" applyBorder="1"/>
    <xf numFmtId="2" fontId="10" fillId="0" borderId="38" xfId="0" applyNumberFormat="1" applyFont="1" applyBorder="1"/>
    <xf numFmtId="3" fontId="10" fillId="0" borderId="8" xfId="0" applyNumberFormat="1" applyFont="1" applyBorder="1"/>
    <xf numFmtId="0" fontId="10" fillId="0" borderId="8" xfId="0" applyFont="1" applyBorder="1"/>
    <xf numFmtId="0" fontId="10" fillId="0" borderId="8" xfId="0" applyFont="1" applyFill="1" applyBorder="1"/>
    <xf numFmtId="0" fontId="10" fillId="0" borderId="6" xfId="0" applyFont="1" applyFill="1" applyBorder="1"/>
    <xf numFmtId="3" fontId="10" fillId="0" borderId="1" xfId="0" applyNumberFormat="1" applyFont="1" applyBorder="1"/>
    <xf numFmtId="2" fontId="10" fillId="0" borderId="43" xfId="0" applyNumberFormat="1" applyFont="1" applyBorder="1"/>
    <xf numFmtId="2" fontId="10" fillId="0" borderId="35" xfId="0" applyNumberFormat="1" applyFont="1" applyBorder="1"/>
    <xf numFmtId="3" fontId="10" fillId="0" borderId="2" xfId="0" applyNumberFormat="1" applyFont="1" applyBorder="1"/>
    <xf numFmtId="0" fontId="10" fillId="0" borderId="10" xfId="0" applyFont="1" applyBorder="1"/>
    <xf numFmtId="2" fontId="10" fillId="0" borderId="26" xfId="0" applyNumberFormat="1" applyFont="1" applyBorder="1"/>
    <xf numFmtId="2" fontId="10" fillId="0" borderId="34" xfId="0" applyNumberFormat="1" applyFont="1" applyBorder="1"/>
    <xf numFmtId="0" fontId="10" fillId="0" borderId="12" xfId="0" applyFont="1" applyBorder="1"/>
    <xf numFmtId="0" fontId="11" fillId="2" borderId="6" xfId="0" applyFont="1" applyFill="1" applyBorder="1" applyAlignment="1">
      <alignment horizontal="center"/>
    </xf>
    <xf numFmtId="0" fontId="11" fillId="2" borderId="38" xfId="0" applyFont="1" applyFill="1" applyBorder="1" applyAlignment="1">
      <alignment horizontal="center"/>
    </xf>
    <xf numFmtId="0" fontId="11" fillId="2" borderId="32" xfId="0" applyFont="1" applyFill="1" applyBorder="1" applyAlignment="1">
      <alignment horizontal="center"/>
    </xf>
    <xf numFmtId="0" fontId="11" fillId="2" borderId="8" xfId="0" applyFont="1" applyFill="1" applyBorder="1" applyAlignment="1">
      <alignment horizontal="center"/>
    </xf>
    <xf numFmtId="0" fontId="11" fillId="2" borderId="10" xfId="0" applyFont="1" applyFill="1" applyBorder="1" applyAlignment="1">
      <alignment horizontal="center"/>
    </xf>
    <xf numFmtId="0" fontId="11" fillId="2" borderId="26" xfId="0" applyFont="1" applyFill="1" applyBorder="1" applyAlignment="1">
      <alignment horizontal="center"/>
    </xf>
    <xf numFmtId="0" fontId="11" fillId="2" borderId="34" xfId="0" applyFont="1" applyFill="1" applyBorder="1" applyAlignment="1">
      <alignment horizontal="center"/>
    </xf>
    <xf numFmtId="0" fontId="11" fillId="2" borderId="12" xfId="0" applyFont="1" applyFill="1" applyBorder="1" applyAlignment="1">
      <alignment horizontal="center"/>
    </xf>
    <xf numFmtId="3" fontId="11" fillId="2" borderId="15" xfId="0" applyNumberFormat="1" applyFont="1" applyFill="1" applyBorder="1"/>
    <xf numFmtId="4" fontId="11" fillId="2" borderId="50" xfId="0" applyNumberFormat="1" applyFont="1" applyFill="1" applyBorder="1"/>
    <xf numFmtId="2" fontId="11" fillId="2" borderId="36" xfId="0" applyNumberFormat="1" applyFont="1" applyFill="1" applyBorder="1"/>
    <xf numFmtId="3" fontId="11" fillId="2" borderId="16" xfId="0" applyNumberFormat="1" applyFont="1" applyFill="1" applyBorder="1"/>
    <xf numFmtId="4" fontId="11" fillId="2" borderId="36" xfId="0" applyNumberFormat="1" applyFont="1" applyFill="1" applyBorder="1"/>
    <xf numFmtId="0" fontId="53" fillId="0" borderId="0" xfId="41" applyFont="1"/>
    <xf numFmtId="0" fontId="54" fillId="0" borderId="0" xfId="41" applyFont="1"/>
    <xf numFmtId="0" fontId="53" fillId="0" borderId="0" xfId="41" applyFont="1" applyAlignment="1">
      <alignment wrapText="1"/>
    </xf>
    <xf numFmtId="0" fontId="11" fillId="2" borderId="44" xfId="0" applyFont="1" applyFill="1" applyBorder="1" applyAlignment="1" applyProtection="1">
      <alignment horizontal="center"/>
      <protection hidden="1"/>
    </xf>
    <xf numFmtId="0" fontId="11" fillId="2" borderId="27" xfId="0" applyFont="1" applyFill="1" applyBorder="1" applyAlignment="1" applyProtection="1">
      <alignment horizontal="center"/>
      <protection hidden="1"/>
    </xf>
    <xf numFmtId="0" fontId="0" fillId="2" borderId="46" xfId="0" applyFill="1" applyBorder="1" applyProtection="1">
      <protection hidden="1"/>
    </xf>
    <xf numFmtId="0" fontId="11" fillId="2" borderId="48" xfId="0" applyFont="1" applyFill="1" applyBorder="1" applyAlignment="1" applyProtection="1">
      <alignment horizontal="center"/>
      <protection hidden="1"/>
    </xf>
    <xf numFmtId="2" fontId="11" fillId="2" borderId="3" xfId="0" applyNumberFormat="1" applyFont="1" applyFill="1" applyBorder="1" applyProtection="1">
      <protection hidden="1"/>
    </xf>
    <xf numFmtId="2" fontId="10" fillId="6" borderId="3" xfId="0" applyNumberFormat="1" applyFont="1" applyFill="1" applyBorder="1" applyProtection="1">
      <protection hidden="1"/>
    </xf>
    <xf numFmtId="2" fontId="10" fillId="6" borderId="9" xfId="0" applyNumberFormat="1" applyFont="1" applyFill="1" applyBorder="1" applyProtection="1">
      <protection hidden="1"/>
    </xf>
    <xf numFmtId="2" fontId="10" fillId="6" borderId="13" xfId="0" applyNumberFormat="1" applyFont="1" applyFill="1" applyBorder="1" applyProtection="1">
      <protection hidden="1"/>
    </xf>
    <xf numFmtId="4" fontId="10" fillId="6" borderId="3" xfId="0" applyNumberFormat="1" applyFont="1" applyFill="1" applyBorder="1" applyProtection="1">
      <protection hidden="1"/>
    </xf>
    <xf numFmtId="4" fontId="11" fillId="6" borderId="44" xfId="0" applyNumberFormat="1" applyFont="1" applyFill="1" applyBorder="1" applyProtection="1">
      <protection hidden="1"/>
    </xf>
    <xf numFmtId="4" fontId="11" fillId="6" borderId="9" xfId="0" applyNumberFormat="1" applyFont="1" applyFill="1" applyBorder="1" applyProtection="1">
      <protection hidden="1"/>
    </xf>
    <xf numFmtId="4" fontId="10" fillId="6" borderId="13" xfId="0" applyNumberFormat="1" applyFont="1" applyFill="1" applyBorder="1" applyProtection="1">
      <protection hidden="1"/>
    </xf>
    <xf numFmtId="4" fontId="11" fillId="6" borderId="13" xfId="0" applyNumberFormat="1" applyFont="1" applyFill="1" applyBorder="1" applyProtection="1">
      <protection hidden="1"/>
    </xf>
    <xf numFmtId="4" fontId="10" fillId="0" borderId="3" xfId="0" applyNumberFormat="1" applyFont="1" applyBorder="1" applyProtection="1">
      <protection hidden="1"/>
    </xf>
    <xf numFmtId="4" fontId="11" fillId="0" borderId="44" xfId="0" applyNumberFormat="1" applyFont="1" applyBorder="1" applyProtection="1">
      <protection hidden="1"/>
    </xf>
    <xf numFmtId="4" fontId="10" fillId="0" borderId="9" xfId="0" applyNumberFormat="1" applyFont="1" applyBorder="1" applyProtection="1">
      <protection hidden="1"/>
    </xf>
    <xf numFmtId="4" fontId="11" fillId="0" borderId="9" xfId="0" applyNumberFormat="1" applyFont="1" applyBorder="1" applyProtection="1">
      <protection hidden="1"/>
    </xf>
    <xf numFmtId="4" fontId="10" fillId="0" borderId="13" xfId="0" applyNumberFormat="1" applyFont="1" applyBorder="1" applyProtection="1">
      <protection hidden="1"/>
    </xf>
    <xf numFmtId="4" fontId="11" fillId="0" borderId="13" xfId="0" applyNumberFormat="1" applyFont="1" applyBorder="1" applyProtection="1">
      <protection hidden="1"/>
    </xf>
    <xf numFmtId="4" fontId="13" fillId="0" borderId="9" xfId="0" applyNumberFormat="1" applyFont="1" applyBorder="1" applyProtection="1">
      <protection hidden="1"/>
    </xf>
    <xf numFmtId="0" fontId="43" fillId="0" borderId="0" xfId="0" applyFont="1" applyProtection="1">
      <protection hidden="1"/>
    </xf>
    <xf numFmtId="4" fontId="13" fillId="0" borderId="3" xfId="0" applyNumberFormat="1" applyFont="1" applyFill="1" applyBorder="1" applyProtection="1">
      <protection hidden="1"/>
    </xf>
    <xf numFmtId="2" fontId="13" fillId="0" borderId="9" xfId="0" applyNumberFormat="1" applyFont="1" applyFill="1" applyBorder="1" applyProtection="1">
      <protection hidden="1"/>
    </xf>
    <xf numFmtId="0" fontId="43" fillId="0" borderId="0" xfId="0" applyFont="1" applyFill="1" applyProtection="1">
      <protection hidden="1"/>
    </xf>
    <xf numFmtId="0" fontId="0" fillId="2" borderId="46" xfId="0" applyFill="1" applyBorder="1"/>
    <xf numFmtId="0" fontId="43" fillId="0" borderId="0" xfId="0" applyFont="1"/>
    <xf numFmtId="0" fontId="5" fillId="4" borderId="0" xfId="41" applyFill="1"/>
    <xf numFmtId="0" fontId="55" fillId="0" borderId="0" xfId="41" applyFont="1"/>
    <xf numFmtId="2" fontId="13" fillId="0" borderId="35" xfId="0" applyNumberFormat="1" applyFont="1" applyBorder="1"/>
    <xf numFmtId="0" fontId="53" fillId="4" borderId="0" xfId="41" applyFont="1" applyFill="1"/>
    <xf numFmtId="0" fontId="11" fillId="2" borderId="74" xfId="0" applyFont="1" applyFill="1" applyBorder="1"/>
    <xf numFmtId="0" fontId="11" fillId="2" borderId="75" xfId="0" applyFont="1" applyFill="1" applyBorder="1"/>
    <xf numFmtId="0" fontId="11" fillId="2" borderId="40" xfId="0" applyFont="1" applyFill="1" applyBorder="1" applyAlignment="1">
      <alignment horizontal="center" wrapText="1"/>
    </xf>
    <xf numFmtId="0" fontId="11" fillId="2" borderId="27" xfId="0" applyFont="1" applyFill="1" applyBorder="1" applyAlignment="1">
      <alignment horizontal="center" wrapText="1"/>
    </xf>
    <xf numFmtId="4" fontId="11" fillId="2" borderId="31" xfId="0" applyNumberFormat="1" applyFont="1" applyFill="1" applyBorder="1"/>
    <xf numFmtId="0" fontId="56" fillId="0" borderId="0" xfId="0" applyFont="1" applyFill="1" applyBorder="1" applyAlignment="1">
      <alignment horizontal="left"/>
    </xf>
    <xf numFmtId="4" fontId="10" fillId="0" borderId="3" xfId="0" applyNumberFormat="1" applyFont="1" applyBorder="1"/>
    <xf numFmtId="4" fontId="13" fillId="0" borderId="3" xfId="0" applyNumberFormat="1" applyFont="1" applyBorder="1"/>
    <xf numFmtId="4" fontId="10" fillId="2" borderId="3" xfId="0" applyNumberFormat="1" applyFont="1" applyFill="1" applyBorder="1"/>
    <xf numFmtId="4" fontId="10" fillId="2" borderId="13" xfId="0" applyNumberFormat="1" applyFont="1" applyFill="1" applyBorder="1"/>
    <xf numFmtId="3" fontId="11" fillId="2" borderId="43" xfId="0" applyNumberFormat="1" applyFont="1" applyFill="1" applyBorder="1"/>
    <xf numFmtId="3" fontId="14" fillId="0" borderId="43" xfId="0" applyNumberFormat="1" applyFont="1" applyFill="1" applyBorder="1"/>
    <xf numFmtId="3" fontId="11" fillId="2" borderId="26" xfId="0" applyNumberFormat="1" applyFont="1" applyFill="1" applyBorder="1"/>
    <xf numFmtId="3" fontId="11" fillId="2" borderId="50" xfId="0" applyNumberFormat="1" applyFont="1" applyFill="1" applyBorder="1"/>
    <xf numFmtId="0" fontId="11" fillId="2" borderId="74" xfId="0" applyFont="1" applyFill="1" applyBorder="1" applyAlignment="1">
      <alignment horizontal="center" wrapText="1"/>
    </xf>
    <xf numFmtId="0" fontId="0" fillId="0" borderId="76" xfId="0" applyBorder="1"/>
    <xf numFmtId="0" fontId="10" fillId="4" borderId="77" xfId="0" applyFont="1" applyFill="1" applyBorder="1" applyAlignment="1">
      <alignment horizontal="center"/>
    </xf>
    <xf numFmtId="0" fontId="10" fillId="4" borderId="78" xfId="0" applyFont="1" applyFill="1" applyBorder="1" applyAlignment="1">
      <alignment horizontal="center"/>
    </xf>
    <xf numFmtId="0" fontId="10" fillId="4" borderId="79" xfId="0" applyFont="1" applyFill="1" applyBorder="1"/>
    <xf numFmtId="0" fontId="11" fillId="4" borderId="80" xfId="0" applyFont="1" applyFill="1" applyBorder="1" applyAlignment="1">
      <alignment horizontal="center" wrapText="1"/>
    </xf>
    <xf numFmtId="3" fontId="10" fillId="4" borderId="81" xfId="0" applyNumberFormat="1" applyFont="1" applyFill="1" applyBorder="1"/>
    <xf numFmtId="164" fontId="11" fillId="4" borderId="82" xfId="0" applyNumberFormat="1" applyFont="1" applyFill="1" applyBorder="1"/>
    <xf numFmtId="3" fontId="10" fillId="4" borderId="83" xfId="0" applyNumberFormat="1" applyFont="1" applyFill="1" applyBorder="1"/>
    <xf numFmtId="3" fontId="13" fillId="0" borderId="83" xfId="0" applyNumberFormat="1" applyFont="1" applyFill="1" applyBorder="1"/>
    <xf numFmtId="164" fontId="11" fillId="0" borderId="82" xfId="0" applyNumberFormat="1" applyFont="1" applyFill="1" applyBorder="1"/>
    <xf numFmtId="3" fontId="10" fillId="4" borderId="84" xfId="0" applyNumberFormat="1" applyFont="1" applyFill="1" applyBorder="1"/>
    <xf numFmtId="164" fontId="11" fillId="4" borderId="85" xfId="0" applyNumberFormat="1" applyFont="1" applyFill="1" applyBorder="1"/>
    <xf numFmtId="0" fontId="11" fillId="6" borderId="26" xfId="0" applyFont="1" applyFill="1" applyBorder="1" applyAlignment="1">
      <alignment horizontal="left"/>
    </xf>
    <xf numFmtId="167" fontId="11" fillId="6" borderId="13" xfId="0" applyNumberFormat="1" applyFont="1" applyFill="1" applyBorder="1" applyAlignment="1">
      <alignment horizontal="center"/>
    </xf>
    <xf numFmtId="0" fontId="11" fillId="6" borderId="13" xfId="0" applyFont="1" applyFill="1" applyBorder="1" applyAlignment="1">
      <alignment horizontal="center"/>
    </xf>
    <xf numFmtId="0" fontId="10" fillId="4" borderId="42" xfId="0" applyFont="1" applyFill="1" applyBorder="1" applyAlignment="1">
      <alignment horizontal="left"/>
    </xf>
    <xf numFmtId="9" fontId="10" fillId="4" borderId="3" xfId="0" applyNumberFormat="1" applyFont="1" applyFill="1" applyBorder="1"/>
    <xf numFmtId="167" fontId="10" fillId="4" borderId="3" xfId="0" applyNumberFormat="1" applyFont="1" applyFill="1" applyBorder="1"/>
    <xf numFmtId="0" fontId="10" fillId="4" borderId="38" xfId="0" applyFont="1" applyFill="1" applyBorder="1" applyAlignment="1">
      <alignment horizontal="left"/>
    </xf>
    <xf numFmtId="9" fontId="10" fillId="4" borderId="9" xfId="0" applyNumberFormat="1" applyFont="1" applyFill="1" applyBorder="1"/>
    <xf numFmtId="167" fontId="10" fillId="4" borderId="9" xfId="0" applyNumberFormat="1" applyFont="1" applyFill="1" applyBorder="1"/>
    <xf numFmtId="0" fontId="10" fillId="4" borderId="54" xfId="0" applyFont="1" applyFill="1" applyBorder="1" applyAlignment="1">
      <alignment horizontal="left"/>
    </xf>
    <xf numFmtId="0" fontId="10" fillId="12" borderId="38" xfId="0" applyFont="1" applyFill="1" applyBorder="1" applyAlignment="1">
      <alignment horizontal="left"/>
    </xf>
    <xf numFmtId="9" fontId="10" fillId="12" borderId="9" xfId="0" applyNumberFormat="1" applyFont="1" applyFill="1" applyBorder="1"/>
    <xf numFmtId="167" fontId="10" fillId="12" borderId="9" xfId="0" applyNumberFormat="1" applyFont="1" applyFill="1" applyBorder="1"/>
    <xf numFmtId="9" fontId="10" fillId="12" borderId="3" xfId="0" applyNumberFormat="1" applyFont="1" applyFill="1" applyBorder="1"/>
    <xf numFmtId="0" fontId="10" fillId="12" borderId="43" xfId="0" applyFont="1" applyFill="1" applyBorder="1" applyAlignment="1">
      <alignment horizontal="left"/>
    </xf>
    <xf numFmtId="0" fontId="10" fillId="11" borderId="38" xfId="0" applyFont="1" applyFill="1" applyBorder="1" applyAlignment="1">
      <alignment horizontal="left"/>
    </xf>
    <xf numFmtId="9" fontId="10" fillId="11" borderId="9" xfId="0" applyNumberFormat="1" applyFont="1" applyFill="1" applyBorder="1"/>
    <xf numFmtId="167" fontId="10" fillId="11" borderId="9" xfId="0" applyNumberFormat="1" applyFont="1" applyFill="1" applyBorder="1"/>
    <xf numFmtId="0" fontId="10" fillId="11" borderId="43" xfId="0" applyFont="1" applyFill="1" applyBorder="1" applyAlignment="1">
      <alignment horizontal="left"/>
    </xf>
    <xf numFmtId="0" fontId="10" fillId="11" borderId="26" xfId="0" applyFont="1" applyFill="1" applyBorder="1" applyAlignment="1">
      <alignment horizontal="left"/>
    </xf>
    <xf numFmtId="9" fontId="10" fillId="11" borderId="13" xfId="0" applyNumberFormat="1" applyFont="1" applyFill="1" applyBorder="1"/>
    <xf numFmtId="167" fontId="10" fillId="11" borderId="13" xfId="0" applyNumberFormat="1" applyFont="1" applyFill="1" applyBorder="1"/>
    <xf numFmtId="0" fontId="11" fillId="6" borderId="43" xfId="0" applyFont="1" applyFill="1" applyBorder="1" applyAlignment="1">
      <alignment horizontal="left"/>
    </xf>
    <xf numFmtId="0" fontId="10" fillId="6" borderId="37" xfId="0" applyFont="1" applyFill="1" applyBorder="1"/>
    <xf numFmtId="9" fontId="11" fillId="6" borderId="3" xfId="0" applyNumberFormat="1" applyFont="1" applyFill="1" applyBorder="1"/>
    <xf numFmtId="167" fontId="11" fillId="6" borderId="3" xfId="0" applyNumberFormat="1" applyFont="1" applyFill="1" applyBorder="1"/>
    <xf numFmtId="0" fontId="11" fillId="4" borderId="86" xfId="0" applyFont="1" applyFill="1" applyBorder="1" applyAlignment="1">
      <alignment horizontal="center" wrapText="1"/>
    </xf>
    <xf numFmtId="0" fontId="11" fillId="4" borderId="87" xfId="0" applyFont="1" applyFill="1" applyBorder="1" applyAlignment="1">
      <alignment horizontal="center" wrapText="1"/>
    </xf>
    <xf numFmtId="3" fontId="10" fillId="4" borderId="88" xfId="0" applyNumberFormat="1" applyFont="1" applyFill="1" applyBorder="1"/>
    <xf numFmtId="4" fontId="10" fillId="0" borderId="0" xfId="0" applyNumberFormat="1" applyFont="1" applyProtection="1">
      <protection hidden="1"/>
    </xf>
    <xf numFmtId="4" fontId="13" fillId="0" borderId="0" xfId="0" applyNumberFormat="1" applyFont="1" applyProtection="1">
      <protection hidden="1"/>
    </xf>
    <xf numFmtId="3" fontId="10" fillId="0" borderId="3" xfId="0" applyNumberFormat="1" applyFont="1" applyBorder="1"/>
    <xf numFmtId="2" fontId="10" fillId="0" borderId="3" xfId="0" applyNumberFormat="1" applyFont="1" applyBorder="1"/>
    <xf numFmtId="3" fontId="10" fillId="0" borderId="9" xfId="0" applyNumberFormat="1" applyFont="1" applyBorder="1"/>
    <xf numFmtId="2" fontId="10" fillId="0" borderId="9" xfId="0" applyNumberFormat="1" applyFont="1" applyBorder="1"/>
    <xf numFmtId="3" fontId="13" fillId="0" borderId="9" xfId="0" applyNumberFormat="1" applyFont="1" applyBorder="1"/>
    <xf numFmtId="2" fontId="13" fillId="0" borderId="9" xfId="0" applyNumberFormat="1" applyFont="1" applyBorder="1"/>
    <xf numFmtId="3" fontId="10" fillId="0" borderId="13" xfId="0" applyNumberFormat="1" applyFont="1" applyBorder="1"/>
    <xf numFmtId="2" fontId="10" fillId="0" borderId="13" xfId="0" applyNumberFormat="1" applyFont="1" applyBorder="1"/>
    <xf numFmtId="0" fontId="10" fillId="2" borderId="48" xfId="0" applyFont="1" applyFill="1" applyBorder="1" applyAlignment="1">
      <alignment horizontal="center" wrapText="1"/>
    </xf>
    <xf numFmtId="0" fontId="10" fillId="2" borderId="48" xfId="0" applyFont="1" applyFill="1" applyBorder="1" applyAlignment="1">
      <alignment horizontal="center" vertical="center"/>
    </xf>
    <xf numFmtId="0" fontId="10" fillId="2" borderId="27" xfId="0" applyFont="1" applyFill="1" applyBorder="1" applyAlignment="1">
      <alignment horizontal="center"/>
    </xf>
    <xf numFmtId="3" fontId="11" fillId="2" borderId="3" xfId="0" applyNumberFormat="1" applyFont="1" applyFill="1" applyBorder="1"/>
    <xf numFmtId="4" fontId="11" fillId="2" borderId="3" xfId="0" applyNumberFormat="1" applyFont="1" applyFill="1" applyBorder="1"/>
    <xf numFmtId="0" fontId="10" fillId="2" borderId="48" xfId="0" applyFont="1" applyFill="1" applyBorder="1" applyAlignment="1">
      <alignment horizontal="center"/>
    </xf>
    <xf numFmtId="1" fontId="10" fillId="0" borderId="0" xfId="0" applyNumberFormat="1" applyFont="1" applyFill="1" applyBorder="1" applyAlignment="1">
      <alignment horizontal="left"/>
    </xf>
    <xf numFmtId="167" fontId="11" fillId="2" borderId="2" xfId="0" applyNumberFormat="1" applyFont="1" applyFill="1" applyBorder="1" applyAlignment="1">
      <alignment vertical="center" wrapText="1"/>
    </xf>
    <xf numFmtId="167" fontId="11" fillId="3" borderId="3" xfId="0" applyNumberFormat="1" applyFont="1" applyFill="1" applyBorder="1" applyAlignment="1">
      <alignment vertical="center" wrapText="1"/>
    </xf>
    <xf numFmtId="167" fontId="11" fillId="3" borderId="2" xfId="0" applyNumberFormat="1" applyFont="1" applyFill="1" applyBorder="1" applyAlignment="1">
      <alignment vertical="center" wrapText="1"/>
    </xf>
    <xf numFmtId="167" fontId="11" fillId="3" borderId="3" xfId="0" applyNumberFormat="1" applyFont="1" applyFill="1" applyBorder="1" applyAlignment="1">
      <alignment horizontal="right" vertical="center" wrapText="1"/>
    </xf>
    <xf numFmtId="0" fontId="11" fillId="0" borderId="0" xfId="0" applyFont="1" applyBorder="1" applyAlignment="1">
      <alignment horizontal="center" vertical="center" wrapText="1"/>
    </xf>
    <xf numFmtId="167" fontId="11" fillId="0" borderId="0" xfId="0" applyNumberFormat="1" applyFont="1" applyBorder="1" applyAlignment="1">
      <alignment horizontal="center" vertical="center" wrapText="1"/>
    </xf>
    <xf numFmtId="167" fontId="11" fillId="0" borderId="0" xfId="0" applyNumberFormat="1" applyFont="1" applyFill="1" applyBorder="1" applyAlignment="1">
      <alignment horizontal="right" vertical="center" wrapText="1"/>
    </xf>
    <xf numFmtId="0" fontId="10" fillId="0" borderId="0" xfId="0" applyFont="1" applyBorder="1" applyAlignment="1">
      <alignment horizontal="left" vertical="center" wrapText="1"/>
    </xf>
    <xf numFmtId="167" fontId="10" fillId="0" borderId="0" xfId="0" applyNumberFormat="1" applyFont="1" applyBorder="1" applyAlignment="1">
      <alignment horizontal="left" vertical="center" wrapText="1"/>
    </xf>
    <xf numFmtId="3" fontId="37" fillId="0" borderId="0" xfId="0" applyNumberFormat="1" applyFont="1" applyFill="1" applyBorder="1" applyAlignment="1">
      <alignment horizontal="center"/>
    </xf>
    <xf numFmtId="1" fontId="58" fillId="0" borderId="0" xfId="33" applyNumberFormat="1" applyFont="1"/>
    <xf numFmtId="1" fontId="58" fillId="0" borderId="0" xfId="33" applyNumberFormat="1" applyFont="1" applyAlignment="1">
      <alignment horizontal="right"/>
    </xf>
    <xf numFmtId="1" fontId="16" fillId="0" borderId="0" xfId="33" applyNumberFormat="1" applyFont="1"/>
    <xf numFmtId="1" fontId="9" fillId="0" borderId="0" xfId="33" applyNumberFormat="1" applyFont="1"/>
    <xf numFmtId="0" fontId="9" fillId="0" borderId="0" xfId="33" applyFont="1"/>
    <xf numFmtId="1" fontId="58" fillId="0" borderId="0" xfId="33" applyNumberFormat="1" applyFont="1" applyAlignment="1">
      <alignment horizontal="left"/>
    </xf>
    <xf numFmtId="0" fontId="16" fillId="0" borderId="0" xfId="33" applyFont="1"/>
    <xf numFmtId="0" fontId="16" fillId="13" borderId="89" xfId="33" applyFont="1" applyFill="1" applyBorder="1" applyAlignment="1">
      <alignment horizontal="center"/>
    </xf>
    <xf numFmtId="1" fontId="16" fillId="13" borderId="90" xfId="33" applyNumberFormat="1" applyFont="1" applyFill="1" applyBorder="1" applyAlignment="1">
      <alignment horizontal="right"/>
    </xf>
    <xf numFmtId="1" fontId="16" fillId="0" borderId="91" xfId="33" applyNumberFormat="1" applyFont="1" applyFill="1" applyBorder="1" applyAlignment="1">
      <alignment horizontal="right"/>
    </xf>
    <xf numFmtId="0" fontId="16" fillId="13" borderId="90" xfId="33" applyFont="1" applyFill="1" applyBorder="1" applyAlignment="1"/>
    <xf numFmtId="0" fontId="16" fillId="13" borderId="92" xfId="33" applyFont="1" applyFill="1" applyBorder="1" applyAlignment="1">
      <alignment horizontal="right"/>
    </xf>
    <xf numFmtId="0" fontId="16" fillId="14" borderId="89" xfId="33" applyFont="1" applyFill="1" applyBorder="1" applyAlignment="1">
      <alignment horizontal="left" vertical="top"/>
    </xf>
    <xf numFmtId="0" fontId="16" fillId="14" borderId="93" xfId="33" applyFont="1" applyFill="1" applyBorder="1" applyAlignment="1">
      <alignment horizontal="left" vertical="top"/>
    </xf>
    <xf numFmtId="0" fontId="16" fillId="14" borderId="92" xfId="33" applyFont="1" applyFill="1" applyBorder="1" applyAlignment="1">
      <alignment horizontal="left" vertical="top"/>
    </xf>
    <xf numFmtId="0" fontId="16" fillId="14" borderId="94" xfId="33" applyFont="1" applyFill="1" applyBorder="1" applyAlignment="1">
      <alignment horizontal="right" vertical="top"/>
    </xf>
    <xf numFmtId="0" fontId="16" fillId="14" borderId="95" xfId="33" applyFont="1" applyFill="1" applyBorder="1" applyAlignment="1">
      <alignment horizontal="right" vertical="top"/>
    </xf>
    <xf numFmtId="0" fontId="9" fillId="0" borderId="0" xfId="33" applyFont="1" applyAlignment="1">
      <alignment horizontal="left" vertical="top"/>
    </xf>
    <xf numFmtId="0" fontId="16" fillId="13" borderId="96" xfId="33" applyFont="1" applyFill="1" applyBorder="1" applyAlignment="1"/>
    <xf numFmtId="3" fontId="16" fillId="0" borderId="97" xfId="33" applyNumberFormat="1" applyFont="1" applyFill="1" applyBorder="1" applyAlignment="1"/>
    <xf numFmtId="3" fontId="16" fillId="0" borderId="91" xfId="33" applyNumberFormat="1" applyFont="1" applyFill="1" applyBorder="1" applyAlignment="1"/>
    <xf numFmtId="0" fontId="16" fillId="13" borderId="96" xfId="33" applyFont="1" applyFill="1" applyBorder="1" applyAlignment="1">
      <alignment horizontal="left"/>
    </xf>
    <xf numFmtId="3" fontId="9" fillId="0" borderId="97" xfId="33" applyNumberFormat="1" applyFont="1" applyBorder="1"/>
    <xf numFmtId="168" fontId="9" fillId="0" borderId="97" xfId="33" applyNumberFormat="1" applyFont="1" applyBorder="1"/>
    <xf numFmtId="9" fontId="9" fillId="0" borderId="0" xfId="33" applyNumberFormat="1" applyFont="1" applyAlignment="1">
      <alignment horizontal="center"/>
    </xf>
    <xf numFmtId="0" fontId="9" fillId="14" borderId="98" xfId="33" applyFont="1" applyFill="1" applyBorder="1"/>
    <xf numFmtId="1" fontId="9" fillId="14" borderId="99" xfId="33" applyNumberFormat="1" applyFont="1" applyFill="1" applyBorder="1"/>
    <xf numFmtId="0" fontId="9" fillId="14" borderId="97" xfId="33" applyFont="1" applyFill="1" applyBorder="1"/>
    <xf numFmtId="0" fontId="9" fillId="0" borderId="100" xfId="33" applyFont="1" applyBorder="1"/>
    <xf numFmtId="3" fontId="16" fillId="0" borderId="101" xfId="33" applyNumberFormat="1" applyFont="1" applyBorder="1" applyAlignment="1">
      <alignment horizontal="right" vertical="top"/>
    </xf>
    <xf numFmtId="0" fontId="16" fillId="13" borderId="102" xfId="33" applyFont="1" applyFill="1" applyBorder="1" applyAlignment="1"/>
    <xf numFmtId="3" fontId="16" fillId="0" borderId="103" xfId="33" applyNumberFormat="1" applyFont="1" applyFill="1" applyBorder="1" applyAlignment="1"/>
    <xf numFmtId="0" fontId="16" fillId="13" borderId="104" xfId="33" applyFont="1" applyFill="1" applyBorder="1" applyAlignment="1">
      <alignment horizontal="left"/>
    </xf>
    <xf numFmtId="3" fontId="9" fillId="0" borderId="105" xfId="33" applyNumberFormat="1" applyFont="1" applyBorder="1"/>
    <xf numFmtId="168" fontId="9" fillId="0" borderId="105" xfId="33" applyNumberFormat="1" applyFont="1" applyBorder="1"/>
    <xf numFmtId="9" fontId="9" fillId="0" borderId="0" xfId="33" applyNumberFormat="1" applyFont="1" applyFill="1" applyAlignment="1">
      <alignment horizontal="center"/>
    </xf>
    <xf numFmtId="0" fontId="9" fillId="14" borderId="106" xfId="33" applyFont="1" applyFill="1" applyBorder="1"/>
    <xf numFmtId="1" fontId="9" fillId="14" borderId="107" xfId="33" applyNumberFormat="1" applyFont="1" applyFill="1" applyBorder="1"/>
    <xf numFmtId="0" fontId="9" fillId="14" borderId="103" xfId="33" applyFont="1" applyFill="1" applyBorder="1"/>
    <xf numFmtId="0" fontId="9" fillId="0" borderId="108" xfId="33" applyFont="1" applyBorder="1"/>
    <xf numFmtId="3" fontId="16" fillId="0" borderId="109" xfId="33" applyNumberFormat="1" applyFont="1" applyBorder="1" applyAlignment="1">
      <alignment horizontal="right" vertical="top"/>
    </xf>
    <xf numFmtId="0" fontId="60" fillId="13" borderId="102" xfId="33" applyFont="1" applyFill="1" applyBorder="1" applyAlignment="1"/>
    <xf numFmtId="3" fontId="60" fillId="0" borderId="103" xfId="33" applyNumberFormat="1" applyFont="1" applyBorder="1"/>
    <xf numFmtId="0" fontId="16" fillId="13" borderId="90" xfId="33" applyFont="1" applyFill="1" applyBorder="1" applyAlignment="1">
      <alignment horizontal="left"/>
    </xf>
    <xf numFmtId="3" fontId="16" fillId="13" borderId="92" xfId="33" applyNumberFormat="1" applyFont="1" applyFill="1" applyBorder="1" applyAlignment="1"/>
    <xf numFmtId="168" fontId="16" fillId="13" borderId="92" xfId="33" applyNumberFormat="1" applyFont="1" applyFill="1" applyBorder="1" applyAlignment="1"/>
    <xf numFmtId="10" fontId="9" fillId="0" borderId="0" xfId="33" applyNumberFormat="1" applyFont="1" applyFill="1"/>
    <xf numFmtId="9" fontId="9" fillId="0" borderId="0" xfId="33" applyNumberFormat="1" applyFont="1"/>
    <xf numFmtId="10" fontId="9" fillId="0" borderId="0" xfId="33" applyNumberFormat="1" applyFont="1"/>
    <xf numFmtId="3" fontId="60" fillId="0" borderId="107" xfId="33" applyNumberFormat="1" applyFont="1" applyBorder="1"/>
    <xf numFmtId="1" fontId="9" fillId="0" borderId="0" xfId="33" applyNumberFormat="1" applyFont="1" applyBorder="1"/>
    <xf numFmtId="1" fontId="9" fillId="0" borderId="23" xfId="33" applyNumberFormat="1" applyFont="1" applyBorder="1"/>
    <xf numFmtId="0" fontId="9" fillId="0" borderId="0" xfId="33" applyFont="1" applyFill="1" applyBorder="1"/>
    <xf numFmtId="0" fontId="9" fillId="0" borderId="0" xfId="33" applyFont="1" applyFill="1"/>
    <xf numFmtId="3" fontId="60" fillId="0" borderId="103" xfId="33" applyNumberFormat="1" applyFont="1" applyFill="1" applyBorder="1" applyAlignment="1"/>
    <xf numFmtId="0" fontId="9" fillId="0" borderId="0" xfId="33" applyFont="1" applyAlignment="1">
      <alignment horizontal="right"/>
    </xf>
    <xf numFmtId="0" fontId="16" fillId="14" borderId="107" xfId="33" applyFont="1" applyFill="1" applyBorder="1"/>
    <xf numFmtId="169" fontId="9" fillId="0" borderId="0" xfId="33" applyNumberFormat="1" applyFont="1"/>
    <xf numFmtId="0" fontId="9" fillId="14" borderId="110" xfId="33" applyFont="1" applyFill="1" applyBorder="1"/>
    <xf numFmtId="1" fontId="9" fillId="14" borderId="111" xfId="33" applyNumberFormat="1" applyFont="1" applyFill="1" applyBorder="1"/>
    <xf numFmtId="0" fontId="9" fillId="14" borderId="112" xfId="33" applyFont="1" applyFill="1" applyBorder="1"/>
    <xf numFmtId="0" fontId="9" fillId="0" borderId="113" xfId="33" applyFont="1" applyBorder="1"/>
    <xf numFmtId="3" fontId="16" fillId="0" borderId="114" xfId="33" applyNumberFormat="1" applyFont="1" applyBorder="1" applyAlignment="1">
      <alignment horizontal="right" vertical="top"/>
    </xf>
    <xf numFmtId="0" fontId="16" fillId="13" borderId="115" xfId="33" applyFont="1" applyFill="1" applyBorder="1" applyAlignment="1"/>
    <xf numFmtId="3" fontId="16" fillId="0" borderId="105" xfId="33" applyNumberFormat="1" applyFont="1" applyFill="1" applyBorder="1" applyAlignment="1"/>
    <xf numFmtId="3" fontId="16" fillId="14" borderId="95" xfId="33" applyNumberFormat="1" applyFont="1" applyFill="1" applyBorder="1" applyAlignment="1">
      <alignment horizontal="right" vertical="top"/>
    </xf>
    <xf numFmtId="0" fontId="16" fillId="13" borderId="89" xfId="33" applyFont="1" applyFill="1" applyBorder="1" applyAlignment="1"/>
    <xf numFmtId="3" fontId="16" fillId="13" borderId="90" xfId="33" applyNumberFormat="1" applyFont="1" applyFill="1" applyBorder="1" applyAlignment="1"/>
    <xf numFmtId="3" fontId="16" fillId="0" borderId="0" xfId="33" applyNumberFormat="1" applyFont="1" applyFill="1" applyBorder="1" applyAlignment="1">
      <alignment horizontal="center"/>
    </xf>
    <xf numFmtId="0" fontId="9" fillId="0" borderId="0" xfId="33" applyFont="1" applyAlignment="1">
      <alignment horizontal="center"/>
    </xf>
    <xf numFmtId="0" fontId="16" fillId="0" borderId="0" xfId="33" applyFont="1" applyAlignment="1">
      <alignment wrapText="1"/>
    </xf>
    <xf numFmtId="1" fontId="62" fillId="0" borderId="0" xfId="33" applyNumberFormat="1" applyFont="1" applyAlignment="1">
      <alignment horizontal="center"/>
    </xf>
    <xf numFmtId="0" fontId="16" fillId="13" borderId="116" xfId="33" applyFont="1" applyFill="1" applyBorder="1" applyAlignment="1">
      <alignment horizontal="center"/>
    </xf>
    <xf numFmtId="0" fontId="11" fillId="15" borderId="117" xfId="33" applyFont="1" applyFill="1" applyBorder="1" applyAlignment="1">
      <alignment horizontal="center"/>
    </xf>
    <xf numFmtId="0" fontId="11" fillId="15" borderId="118" xfId="33" applyFont="1" applyFill="1" applyBorder="1" applyAlignment="1">
      <alignment horizontal="center"/>
    </xf>
    <xf numFmtId="0" fontId="11" fillId="13" borderId="117" xfId="33" applyFont="1" applyFill="1" applyBorder="1" applyAlignment="1">
      <alignment horizontal="center"/>
    </xf>
    <xf numFmtId="0" fontId="11" fillId="16" borderId="117" xfId="33" applyFont="1" applyFill="1" applyBorder="1" applyAlignment="1">
      <alignment horizontal="center"/>
    </xf>
    <xf numFmtId="0" fontId="11" fillId="17" borderId="117" xfId="33" applyFont="1" applyFill="1" applyBorder="1" applyAlignment="1">
      <alignment horizontal="center"/>
    </xf>
    <xf numFmtId="0" fontId="11" fillId="17" borderId="118" xfId="33" applyFont="1" applyFill="1" applyBorder="1" applyAlignment="1">
      <alignment horizontal="center"/>
    </xf>
    <xf numFmtId="0" fontId="11" fillId="0" borderId="0" xfId="33" applyFont="1" applyFill="1" applyBorder="1" applyAlignment="1">
      <alignment horizontal="center"/>
    </xf>
    <xf numFmtId="0" fontId="56" fillId="13" borderId="91" xfId="33" applyFont="1" applyFill="1" applyBorder="1" applyAlignment="1">
      <alignment horizontal="center"/>
    </xf>
    <xf numFmtId="0" fontId="11" fillId="15" borderId="119" xfId="33" applyFont="1" applyFill="1" applyBorder="1" applyAlignment="1">
      <alignment horizontal="center"/>
    </xf>
    <xf numFmtId="0" fontId="11" fillId="15" borderId="120" xfId="33" applyFont="1" applyFill="1" applyBorder="1" applyAlignment="1">
      <alignment horizontal="center"/>
    </xf>
    <xf numFmtId="0" fontId="11" fillId="13" borderId="119" xfId="33" applyFont="1" applyFill="1" applyBorder="1" applyAlignment="1">
      <alignment horizontal="center"/>
    </xf>
    <xf numFmtId="0" fontId="11" fillId="16" borderId="119" xfId="33" applyFont="1" applyFill="1" applyBorder="1" applyAlignment="1">
      <alignment horizontal="center"/>
    </xf>
    <xf numFmtId="1" fontId="11" fillId="17" borderId="119" xfId="33" applyNumberFormat="1" applyFont="1" applyFill="1" applyBorder="1" applyAlignment="1">
      <alignment horizontal="center"/>
    </xf>
    <xf numFmtId="0" fontId="11" fillId="17" borderId="120" xfId="33" applyFont="1" applyFill="1" applyBorder="1" applyAlignment="1">
      <alignment horizontal="center"/>
    </xf>
    <xf numFmtId="0" fontId="11" fillId="17" borderId="119" xfId="33" applyFont="1" applyFill="1" applyBorder="1" applyAlignment="1">
      <alignment horizontal="center"/>
    </xf>
    <xf numFmtId="0" fontId="11" fillId="13" borderId="91" xfId="33" applyFont="1" applyFill="1" applyBorder="1" applyAlignment="1">
      <alignment horizontal="center"/>
    </xf>
    <xf numFmtId="9" fontId="11" fillId="15" borderId="120" xfId="33" applyNumberFormat="1" applyFont="1" applyFill="1" applyBorder="1" applyAlignment="1">
      <alignment horizontal="center"/>
    </xf>
    <xf numFmtId="1" fontId="11" fillId="17" borderId="120" xfId="33" applyNumberFormat="1" applyFont="1" applyFill="1" applyBorder="1" applyAlignment="1">
      <alignment horizontal="center"/>
    </xf>
    <xf numFmtId="1" fontId="11" fillId="0" borderId="0" xfId="33" applyNumberFormat="1" applyFont="1" applyFill="1" applyBorder="1" applyAlignment="1">
      <alignment horizontal="center"/>
    </xf>
    <xf numFmtId="0" fontId="16" fillId="13" borderId="91" xfId="33" applyFont="1" applyFill="1" applyBorder="1" applyAlignment="1">
      <alignment horizontal="center"/>
    </xf>
    <xf numFmtId="1" fontId="11" fillId="15" borderId="121" xfId="33" applyNumberFormat="1" applyFont="1" applyFill="1" applyBorder="1" applyAlignment="1">
      <alignment horizontal="center"/>
    </xf>
    <xf numFmtId="1" fontId="11" fillId="15" borderId="120" xfId="33" applyNumberFormat="1" applyFont="1" applyFill="1" applyBorder="1" applyAlignment="1">
      <alignment horizontal="center"/>
    </xf>
    <xf numFmtId="0" fontId="11" fillId="13" borderId="121" xfId="33" applyFont="1" applyFill="1" applyBorder="1" applyAlignment="1">
      <alignment horizontal="center"/>
    </xf>
    <xf numFmtId="1" fontId="11" fillId="16" borderId="119" xfId="33" applyNumberFormat="1" applyFont="1" applyFill="1" applyBorder="1" applyAlignment="1">
      <alignment horizontal="center"/>
    </xf>
    <xf numFmtId="49" fontId="11" fillId="17" borderId="119" xfId="33" applyNumberFormat="1" applyFont="1" applyFill="1" applyBorder="1" applyAlignment="1">
      <alignment horizontal="center"/>
    </xf>
    <xf numFmtId="49" fontId="9" fillId="0" borderId="0" xfId="33" applyNumberFormat="1" applyFont="1"/>
    <xf numFmtId="0" fontId="16" fillId="13" borderId="98" xfId="33" applyFont="1" applyFill="1" applyBorder="1"/>
    <xf numFmtId="3" fontId="9" fillId="15" borderId="98" xfId="33" applyNumberFormat="1" applyFont="1" applyFill="1" applyBorder="1" applyAlignment="1"/>
    <xf numFmtId="3" fontId="57" fillId="15" borderId="98" xfId="33" applyNumberFormat="1" applyFont="1" applyFill="1" applyBorder="1" applyAlignment="1"/>
    <xf numFmtId="3" fontId="9" fillId="15" borderId="96" xfId="33" applyNumberFormat="1" applyFont="1" applyFill="1" applyBorder="1" applyAlignment="1"/>
    <xf numFmtId="3" fontId="9" fillId="13" borderId="96" xfId="33" applyNumberFormat="1" applyFont="1" applyFill="1" applyBorder="1" applyAlignment="1"/>
    <xf numFmtId="3" fontId="9" fillId="13" borderId="97" xfId="33" applyNumberFormat="1" applyFont="1" applyFill="1" applyBorder="1" applyAlignment="1"/>
    <xf numFmtId="3" fontId="9" fillId="16" borderId="96" xfId="33" applyNumberFormat="1" applyFont="1" applyFill="1" applyBorder="1" applyAlignment="1"/>
    <xf numFmtId="3" fontId="9" fillId="0" borderId="96" xfId="33" applyNumberFormat="1" applyFont="1" applyFill="1" applyBorder="1" applyAlignment="1"/>
    <xf numFmtId="166" fontId="16" fillId="17" borderId="99" xfId="33" applyNumberFormat="1" applyFont="1" applyFill="1" applyBorder="1" applyAlignment="1"/>
    <xf numFmtId="3" fontId="9" fillId="0" borderId="96" xfId="33" applyNumberFormat="1" applyFont="1" applyBorder="1"/>
    <xf numFmtId="9" fontId="9" fillId="0" borderId="0" xfId="43" applyFont="1" applyBorder="1"/>
    <xf numFmtId="3" fontId="9" fillId="0" borderId="0" xfId="33" applyNumberFormat="1" applyFont="1" applyFill="1" applyBorder="1"/>
    <xf numFmtId="166" fontId="9" fillId="0" borderId="0" xfId="33" applyNumberFormat="1" applyFont="1" applyFill="1" applyBorder="1"/>
    <xf numFmtId="170" fontId="9" fillId="0" borderId="0" xfId="42" applyNumberFormat="1" applyFont="1" applyFill="1" applyBorder="1" applyAlignment="1"/>
    <xf numFmtId="0" fontId="16" fillId="13" borderId="106" xfId="33" applyFont="1" applyFill="1" applyBorder="1"/>
    <xf numFmtId="3" fontId="9" fillId="15" borderId="106" xfId="33" applyNumberFormat="1" applyFont="1" applyFill="1" applyBorder="1" applyAlignment="1"/>
    <xf numFmtId="3" fontId="57" fillId="15" borderId="106" xfId="33" applyNumberFormat="1" applyFont="1" applyFill="1" applyBorder="1" applyAlignment="1"/>
    <xf numFmtId="3" fontId="9" fillId="15" borderId="102" xfId="33" applyNumberFormat="1" applyFont="1" applyFill="1" applyBorder="1" applyAlignment="1"/>
    <xf numFmtId="3" fontId="9" fillId="13" borderId="102" xfId="33" applyNumberFormat="1" applyFont="1" applyFill="1" applyBorder="1" applyAlignment="1"/>
    <xf numFmtId="3" fontId="9" fillId="13" borderId="103" xfId="33" applyNumberFormat="1" applyFont="1" applyFill="1" applyBorder="1" applyAlignment="1"/>
    <xf numFmtId="3" fontId="9" fillId="16" borderId="102" xfId="33" applyNumberFormat="1" applyFont="1" applyFill="1" applyBorder="1" applyAlignment="1"/>
    <xf numFmtId="3" fontId="9" fillId="0" borderId="102" xfId="33" applyNumberFormat="1" applyFont="1" applyFill="1" applyBorder="1" applyAlignment="1"/>
    <xf numFmtId="166" fontId="16" fillId="17" borderId="107" xfId="33" applyNumberFormat="1" applyFont="1" applyFill="1" applyBorder="1" applyAlignment="1"/>
    <xf numFmtId="3" fontId="9" fillId="0" borderId="102" xfId="33" applyNumberFormat="1" applyFont="1" applyBorder="1"/>
    <xf numFmtId="3" fontId="9" fillId="18" borderId="102" xfId="33" applyNumberFormat="1" applyFont="1" applyFill="1" applyBorder="1" applyAlignment="1"/>
    <xf numFmtId="0" fontId="9" fillId="18" borderId="102" xfId="33" applyFont="1" applyFill="1" applyBorder="1"/>
    <xf numFmtId="1" fontId="9" fillId="18" borderId="102" xfId="33" applyNumberFormat="1" applyFont="1" applyFill="1" applyBorder="1"/>
    <xf numFmtId="0" fontId="43" fillId="0" borderId="0" xfId="33" applyFont="1"/>
    <xf numFmtId="3" fontId="43" fillId="0" borderId="0" xfId="33" applyNumberFormat="1" applyFont="1" applyFill="1" applyBorder="1"/>
    <xf numFmtId="166" fontId="43" fillId="0" borderId="0" xfId="33" applyNumberFormat="1" applyFont="1" applyFill="1" applyBorder="1"/>
    <xf numFmtId="170" fontId="43" fillId="0" borderId="0" xfId="42" applyNumberFormat="1" applyFont="1" applyFill="1" applyBorder="1" applyAlignment="1"/>
    <xf numFmtId="1" fontId="9" fillId="19" borderId="102" xfId="33" applyNumberFormat="1" applyFont="1" applyFill="1" applyBorder="1"/>
    <xf numFmtId="0" fontId="62" fillId="0" borderId="0" xfId="33" applyFont="1"/>
    <xf numFmtId="3" fontId="62" fillId="0" borderId="0" xfId="33" applyNumberFormat="1" applyFont="1" applyFill="1" applyBorder="1"/>
    <xf numFmtId="166" fontId="62" fillId="0" borderId="0" xfId="33" applyNumberFormat="1" applyFont="1" applyFill="1" applyBorder="1"/>
    <xf numFmtId="170" fontId="62" fillId="0" borderId="0" xfId="42" applyNumberFormat="1" applyFont="1" applyFill="1" applyBorder="1" applyAlignment="1"/>
    <xf numFmtId="0" fontId="16" fillId="13" borderId="122" xfId="33" applyFont="1" applyFill="1" applyBorder="1"/>
    <xf numFmtId="3" fontId="64" fillId="15" borderId="122" xfId="33" applyNumberFormat="1" applyFont="1" applyFill="1" applyBorder="1" applyAlignment="1"/>
    <xf numFmtId="3" fontId="57" fillId="15" borderId="122" xfId="33" applyNumberFormat="1" applyFont="1" applyFill="1" applyBorder="1" applyAlignment="1"/>
    <xf numFmtId="3" fontId="9" fillId="15" borderId="123" xfId="33" applyNumberFormat="1" applyFont="1" applyFill="1" applyBorder="1" applyAlignment="1"/>
    <xf numFmtId="3" fontId="9" fillId="13" borderId="123" xfId="33" applyNumberFormat="1" applyFont="1" applyFill="1" applyBorder="1" applyAlignment="1"/>
    <xf numFmtId="3" fontId="9" fillId="13" borderId="124" xfId="33" applyNumberFormat="1" applyFont="1" applyFill="1" applyBorder="1" applyAlignment="1"/>
    <xf numFmtId="3" fontId="9" fillId="16" borderId="123" xfId="33" applyNumberFormat="1" applyFont="1" applyFill="1" applyBorder="1" applyAlignment="1"/>
    <xf numFmtId="3" fontId="9" fillId="0" borderId="123" xfId="33" applyNumberFormat="1" applyFont="1" applyFill="1" applyBorder="1" applyAlignment="1"/>
    <xf numFmtId="166" fontId="16" fillId="17" borderId="125" xfId="33" applyNumberFormat="1" applyFont="1" applyFill="1" applyBorder="1" applyAlignment="1"/>
    <xf numFmtId="3" fontId="9" fillId="0" borderId="104" xfId="33" applyNumberFormat="1" applyFont="1" applyBorder="1"/>
    <xf numFmtId="0" fontId="16" fillId="13" borderId="58" xfId="33" applyFont="1" applyFill="1" applyBorder="1"/>
    <xf numFmtId="3" fontId="16" fillId="15" borderId="58" xfId="33" applyNumberFormat="1" applyFont="1" applyFill="1" applyBorder="1" applyAlignment="1"/>
    <xf numFmtId="3" fontId="60" fillId="15" borderId="121" xfId="33" applyNumberFormat="1" applyFont="1" applyFill="1" applyBorder="1" applyAlignment="1"/>
    <xf numFmtId="3" fontId="16" fillId="15" borderId="17" xfId="33" applyNumberFormat="1" applyFont="1" applyFill="1" applyBorder="1" applyAlignment="1"/>
    <xf numFmtId="3" fontId="16" fillId="13" borderId="121" xfId="33" applyNumberFormat="1" applyFont="1" applyFill="1" applyBorder="1" applyAlignment="1"/>
    <xf numFmtId="3" fontId="16" fillId="16" borderId="121" xfId="33" applyNumberFormat="1" applyFont="1" applyFill="1" applyBorder="1" applyAlignment="1"/>
    <xf numFmtId="3" fontId="9" fillId="0" borderId="121" xfId="33" applyNumberFormat="1" applyFont="1" applyBorder="1" applyAlignment="1"/>
    <xf numFmtId="166" fontId="16" fillId="17" borderId="126" xfId="33" applyNumberFormat="1" applyFont="1" applyFill="1" applyBorder="1" applyAlignment="1"/>
    <xf numFmtId="3" fontId="9" fillId="0" borderId="90" xfId="33" applyNumberFormat="1" applyFont="1" applyBorder="1"/>
    <xf numFmtId="166" fontId="16" fillId="0" borderId="0" xfId="33" applyNumberFormat="1" applyFont="1" applyFill="1" applyBorder="1" applyAlignment="1"/>
    <xf numFmtId="3" fontId="10" fillId="0" borderId="0" xfId="33" applyNumberFormat="1" applyFont="1"/>
    <xf numFmtId="3" fontId="9" fillId="0" borderId="0" xfId="33" applyNumberFormat="1" applyFont="1"/>
    <xf numFmtId="0" fontId="16" fillId="0" borderId="0" xfId="33" applyFont="1" applyFill="1" applyBorder="1"/>
    <xf numFmtId="0" fontId="9" fillId="0" borderId="0" xfId="33" applyFont="1" applyBorder="1" applyAlignment="1"/>
    <xf numFmtId="0" fontId="9" fillId="0" borderId="0" xfId="33" applyFont="1" applyBorder="1" applyAlignment="1">
      <alignment horizontal="left" vertical="top"/>
    </xf>
    <xf numFmtId="0" fontId="11" fillId="20" borderId="117" xfId="33" applyFont="1" applyFill="1" applyBorder="1" applyAlignment="1">
      <alignment horizontal="center"/>
    </xf>
    <xf numFmtId="0" fontId="11" fillId="20" borderId="118" xfId="33" applyFont="1" applyFill="1" applyBorder="1" applyAlignment="1">
      <alignment horizontal="center"/>
    </xf>
    <xf numFmtId="3" fontId="9" fillId="0" borderId="0" xfId="33" applyNumberFormat="1" applyFont="1" applyAlignment="1">
      <alignment horizontal="right"/>
    </xf>
    <xf numFmtId="0" fontId="9" fillId="0" borderId="0" xfId="33" applyFont="1" applyAlignment="1">
      <alignment horizontal="left"/>
    </xf>
    <xf numFmtId="0" fontId="11" fillId="20" borderId="119" xfId="33" applyFont="1" applyFill="1" applyBorder="1" applyAlignment="1">
      <alignment horizontal="center"/>
    </xf>
    <xf numFmtId="0" fontId="11" fillId="20" borderId="120" xfId="33" applyFont="1" applyFill="1" applyBorder="1" applyAlignment="1">
      <alignment horizontal="center"/>
    </xf>
    <xf numFmtId="3" fontId="9" fillId="0" borderId="0" xfId="33" applyNumberFormat="1" applyFont="1" applyBorder="1" applyAlignment="1">
      <alignment horizontal="right" vertical="top"/>
    </xf>
    <xf numFmtId="1" fontId="11" fillId="20" borderId="121" xfId="33" applyNumberFormat="1" applyFont="1" applyFill="1" applyBorder="1" applyAlignment="1">
      <alignment horizontal="center"/>
    </xf>
    <xf numFmtId="1" fontId="11" fillId="20" borderId="120" xfId="33" applyNumberFormat="1" applyFont="1" applyFill="1" applyBorder="1" applyAlignment="1">
      <alignment horizontal="center"/>
    </xf>
    <xf numFmtId="0" fontId="16" fillId="20" borderId="98" xfId="33" applyFont="1" applyFill="1" applyBorder="1"/>
    <xf numFmtId="168" fontId="9" fillId="0" borderId="96" xfId="33" applyNumberFormat="1" applyFont="1" applyBorder="1" applyAlignment="1">
      <alignment horizontal="right"/>
    </xf>
    <xf numFmtId="3" fontId="9" fillId="0" borderId="96" xfId="33" applyNumberFormat="1" applyFont="1" applyBorder="1" applyAlignment="1">
      <alignment horizontal="right"/>
    </xf>
    <xf numFmtId="0" fontId="16" fillId="20" borderId="106" xfId="33" applyFont="1" applyFill="1" applyBorder="1"/>
    <xf numFmtId="168" fontId="9" fillId="0" borderId="102" xfId="33" applyNumberFormat="1" applyFont="1" applyBorder="1" applyAlignment="1">
      <alignment horizontal="right"/>
    </xf>
    <xf numFmtId="3" fontId="9" fillId="0" borderId="102" xfId="33" applyNumberFormat="1" applyFont="1" applyBorder="1" applyAlignment="1">
      <alignment horizontal="right"/>
    </xf>
    <xf numFmtId="0" fontId="16" fillId="20" borderId="110" xfId="33" applyFont="1" applyFill="1" applyBorder="1"/>
    <xf numFmtId="168" fontId="9" fillId="0" borderId="115" xfId="33" applyNumberFormat="1" applyFont="1" applyBorder="1" applyAlignment="1">
      <alignment horizontal="right"/>
    </xf>
    <xf numFmtId="3" fontId="9" fillId="0" borderId="127" xfId="33" applyNumberFormat="1" applyFont="1" applyBorder="1" applyAlignment="1">
      <alignment horizontal="right"/>
    </xf>
    <xf numFmtId="1" fontId="9" fillId="0" borderId="104" xfId="33" applyNumberFormat="1" applyFont="1" applyBorder="1" applyAlignment="1">
      <alignment horizontal="right"/>
    </xf>
    <xf numFmtId="0" fontId="16" fillId="20" borderId="58" xfId="33" applyFont="1" applyFill="1" applyBorder="1"/>
    <xf numFmtId="168" fontId="16" fillId="20" borderId="58" xfId="33" applyNumberFormat="1" applyFont="1" applyFill="1" applyBorder="1" applyAlignment="1">
      <alignment horizontal="right"/>
    </xf>
    <xf numFmtId="3" fontId="16" fillId="20" borderId="90" xfId="33" applyNumberFormat="1" applyFont="1" applyFill="1" applyBorder="1" applyAlignment="1">
      <alignment horizontal="right"/>
    </xf>
    <xf numFmtId="0" fontId="10" fillId="0" borderId="0" xfId="33" applyFont="1" applyAlignment="1"/>
    <xf numFmtId="0" fontId="10" fillId="0" borderId="0" xfId="33" applyFont="1" applyAlignment="1">
      <alignment horizontal="center" wrapText="1"/>
    </xf>
    <xf numFmtId="10" fontId="10" fillId="0" borderId="0" xfId="43" applyNumberFormat="1" applyFont="1" applyBorder="1" applyAlignment="1"/>
    <xf numFmtId="10" fontId="10" fillId="0" borderId="0" xfId="33" applyNumberFormat="1" applyFont="1" applyAlignment="1"/>
    <xf numFmtId="0" fontId="10" fillId="0" borderId="0" xfId="33" applyFont="1" applyAlignment="1">
      <alignment horizontal="center"/>
    </xf>
    <xf numFmtId="0" fontId="11" fillId="0" borderId="0" xfId="33" applyFont="1" applyAlignment="1">
      <alignment horizontal="center" wrapText="1"/>
    </xf>
    <xf numFmtId="10" fontId="11" fillId="0" borderId="0" xfId="43" applyNumberFormat="1" applyFont="1" applyBorder="1" applyAlignment="1"/>
    <xf numFmtId="10" fontId="11" fillId="0" borderId="0" xfId="33" applyNumberFormat="1" applyFont="1" applyAlignment="1"/>
    <xf numFmtId="0" fontId="16" fillId="0" borderId="0" xfId="33" applyFont="1" applyAlignment="1">
      <alignment horizontal="center"/>
    </xf>
    <xf numFmtId="42" fontId="10" fillId="3" borderId="55" xfId="0" applyNumberFormat="1" applyFont="1" applyFill="1" applyBorder="1" applyAlignment="1">
      <alignment vertical="center" wrapText="1"/>
    </xf>
    <xf numFmtId="5" fontId="10" fillId="3" borderId="55" xfId="0" applyNumberFormat="1" applyFont="1" applyFill="1" applyBorder="1" applyAlignment="1">
      <alignment vertical="center" wrapText="1"/>
    </xf>
    <xf numFmtId="42" fontId="10" fillId="3" borderId="13" xfId="0" applyNumberFormat="1" applyFont="1" applyFill="1" applyBorder="1" applyAlignment="1">
      <alignment vertical="center" wrapText="1"/>
    </xf>
    <xf numFmtId="42" fontId="11" fillId="3" borderId="2" xfId="0" applyNumberFormat="1" applyFont="1" applyFill="1" applyBorder="1" applyAlignment="1">
      <alignment vertical="center" wrapText="1"/>
    </xf>
    <xf numFmtId="167" fontId="11" fillId="3" borderId="8" xfId="0" applyNumberFormat="1" applyFont="1" applyFill="1" applyBorder="1" applyAlignment="1">
      <alignment horizontal="left" vertical="center" wrapText="1"/>
    </xf>
    <xf numFmtId="0" fontId="4" fillId="0" borderId="0" xfId="41" applyFont="1"/>
    <xf numFmtId="0" fontId="65" fillId="0" borderId="0" xfId="0" quotePrefix="1" applyFont="1" applyFill="1"/>
    <xf numFmtId="0" fontId="65" fillId="0" borderId="0" xfId="0" applyFont="1" applyFill="1"/>
    <xf numFmtId="0" fontId="4" fillId="4" borderId="0" xfId="41" applyFont="1" applyFill="1"/>
    <xf numFmtId="0" fontId="65" fillId="0" borderId="0" xfId="0" quotePrefix="1" applyFont="1"/>
    <xf numFmtId="0" fontId="65" fillId="0" borderId="0" xfId="0" applyFont="1"/>
    <xf numFmtId="0" fontId="66" fillId="0" borderId="0" xfId="0" applyFont="1" applyAlignment="1">
      <alignment horizontal="center"/>
    </xf>
    <xf numFmtId="0" fontId="67" fillId="0" borderId="0" xfId="0" applyFont="1" applyAlignment="1">
      <alignment horizontal="center"/>
    </xf>
    <xf numFmtId="0" fontId="39" fillId="0" borderId="0" xfId="0" applyFont="1"/>
    <xf numFmtId="0" fontId="68" fillId="0" borderId="0" xfId="0" applyFont="1"/>
    <xf numFmtId="0" fontId="66" fillId="0" borderId="0" xfId="0" applyFont="1" applyFill="1" applyBorder="1" applyAlignment="1">
      <alignment horizontal="center"/>
    </xf>
    <xf numFmtId="0" fontId="10" fillId="0" borderId="0" xfId="0" applyFont="1" applyFill="1" applyBorder="1" applyAlignment="1">
      <alignment horizontal="right"/>
    </xf>
    <xf numFmtId="0" fontId="69" fillId="0" borderId="0" xfId="0" applyFont="1" applyAlignment="1">
      <alignment horizontal="center"/>
    </xf>
    <xf numFmtId="0" fontId="69" fillId="0" borderId="0" xfId="0" applyFont="1" applyFill="1" applyBorder="1" applyAlignment="1">
      <alignment horizontal="center"/>
    </xf>
    <xf numFmtId="0" fontId="39" fillId="0" borderId="0" xfId="0" applyFont="1" applyAlignment="1">
      <alignment horizontal="center"/>
    </xf>
    <xf numFmtId="0" fontId="70" fillId="0" borderId="0" xfId="0" applyFont="1" applyAlignment="1">
      <alignment horizontal="center" vertical="center"/>
    </xf>
    <xf numFmtId="0" fontId="11" fillId="2" borderId="74" xfId="0" applyFont="1" applyFill="1" applyBorder="1" applyAlignment="1">
      <alignment horizontal="center"/>
    </xf>
    <xf numFmtId="3" fontId="71" fillId="0" borderId="0" xfId="0" applyNumberFormat="1" applyFont="1"/>
    <xf numFmtId="4" fontId="10" fillId="0" borderId="3" xfId="0" applyNumberFormat="1" applyFont="1" applyFill="1" applyBorder="1"/>
    <xf numFmtId="1" fontId="58" fillId="0" borderId="0" xfId="0" applyNumberFormat="1" applyFont="1"/>
    <xf numFmtId="1" fontId="58" fillId="0" borderId="0" xfId="0" applyNumberFormat="1" applyFont="1" applyAlignment="1">
      <alignment horizontal="right"/>
    </xf>
    <xf numFmtId="1" fontId="16" fillId="0" borderId="0" xfId="0" applyNumberFormat="1" applyFont="1"/>
    <xf numFmtId="1" fontId="9" fillId="0" borderId="0" xfId="0" applyNumberFormat="1" applyFont="1"/>
    <xf numFmtId="0" fontId="9" fillId="0" borderId="0" xfId="0" applyFont="1"/>
    <xf numFmtId="1" fontId="58" fillId="0" borderId="0" xfId="0" applyNumberFormat="1" applyFont="1" applyAlignment="1">
      <alignment horizontal="left"/>
    </xf>
    <xf numFmtId="0" fontId="16" fillId="13" borderId="89" xfId="0" applyFont="1" applyFill="1" applyBorder="1" applyAlignment="1">
      <alignment horizontal="center"/>
    </xf>
    <xf numFmtId="1" fontId="16" fillId="13" borderId="90" xfId="0" applyNumberFormat="1" applyFont="1" applyFill="1" applyBorder="1" applyAlignment="1">
      <alignment horizontal="right"/>
    </xf>
    <xf numFmtId="1" fontId="16" fillId="0" borderId="91" xfId="0" applyNumberFormat="1" applyFont="1" applyFill="1" applyBorder="1" applyAlignment="1">
      <alignment horizontal="right"/>
    </xf>
    <xf numFmtId="0" fontId="16" fillId="13" borderId="90" xfId="0" applyFont="1" applyFill="1" applyBorder="1" applyAlignment="1"/>
    <xf numFmtId="0" fontId="16" fillId="13" borderId="92" xfId="0" applyFont="1" applyFill="1" applyBorder="1" applyAlignment="1">
      <alignment horizontal="right"/>
    </xf>
    <xf numFmtId="0" fontId="16" fillId="14" borderId="89" xfId="0" applyFont="1" applyFill="1" applyBorder="1" applyAlignment="1">
      <alignment horizontal="left" vertical="top"/>
    </xf>
    <xf numFmtId="0" fontId="16" fillId="14" borderId="93" xfId="0" applyFont="1" applyFill="1" applyBorder="1" applyAlignment="1">
      <alignment horizontal="left" vertical="top"/>
    </xf>
    <xf numFmtId="0" fontId="16" fillId="14" borderId="92" xfId="0" applyFont="1" applyFill="1" applyBorder="1" applyAlignment="1">
      <alignment horizontal="left" vertical="top"/>
    </xf>
    <xf numFmtId="0" fontId="16" fillId="14" borderId="94" xfId="0" applyFont="1" applyFill="1" applyBorder="1" applyAlignment="1">
      <alignment horizontal="right" vertical="top"/>
    </xf>
    <xf numFmtId="0" fontId="16" fillId="14" borderId="95" xfId="0" applyFont="1" applyFill="1" applyBorder="1" applyAlignment="1">
      <alignment horizontal="right" vertical="top"/>
    </xf>
    <xf numFmtId="0" fontId="9" fillId="0" borderId="0" xfId="0" applyFont="1" applyAlignment="1">
      <alignment horizontal="left" vertical="top"/>
    </xf>
    <xf numFmtId="0" fontId="16" fillId="13" borderId="96" xfId="0" applyFont="1" applyFill="1" applyBorder="1" applyAlignment="1"/>
    <xf numFmtId="3" fontId="16" fillId="0" borderId="97" xfId="0" applyNumberFormat="1" applyFont="1" applyFill="1" applyBorder="1" applyAlignment="1"/>
    <xf numFmtId="3" fontId="16" fillId="0" borderId="91" xfId="0" applyNumberFormat="1" applyFont="1" applyFill="1" applyBorder="1" applyAlignment="1"/>
    <xf numFmtId="0" fontId="16" fillId="13" borderId="96" xfId="0" applyFont="1" applyFill="1" applyBorder="1" applyAlignment="1">
      <alignment horizontal="left"/>
    </xf>
    <xf numFmtId="3" fontId="9" fillId="0" borderId="97" xfId="0" applyNumberFormat="1" applyFont="1" applyBorder="1"/>
    <xf numFmtId="168" fontId="9" fillId="0" borderId="96" xfId="0" applyNumberFormat="1" applyFont="1" applyBorder="1"/>
    <xf numFmtId="9" fontId="9" fillId="0" borderId="0" xfId="0" applyNumberFormat="1" applyFont="1" applyAlignment="1">
      <alignment horizontal="center"/>
    </xf>
    <xf numFmtId="0" fontId="9" fillId="14" borderId="98" xfId="0" applyFont="1" applyFill="1" applyBorder="1"/>
    <xf numFmtId="1" fontId="9" fillId="14" borderId="99" xfId="0" applyNumberFormat="1" applyFont="1" applyFill="1" applyBorder="1"/>
    <xf numFmtId="0" fontId="9" fillId="14" borderId="97" xfId="0" applyFont="1" applyFill="1" applyBorder="1"/>
    <xf numFmtId="0" fontId="9" fillId="0" borderId="100" xfId="0" applyFont="1" applyBorder="1"/>
    <xf numFmtId="3" fontId="16" fillId="0" borderId="101" xfId="0" applyNumberFormat="1" applyFont="1" applyBorder="1" applyAlignment="1">
      <alignment horizontal="right" vertical="top"/>
    </xf>
    <xf numFmtId="0" fontId="16" fillId="13" borderId="102" xfId="0" applyFont="1" applyFill="1" applyBorder="1" applyAlignment="1"/>
    <xf numFmtId="3" fontId="16" fillId="0" borderId="103" xfId="0" applyNumberFormat="1" applyFont="1" applyFill="1" applyBorder="1" applyAlignment="1"/>
    <xf numFmtId="0" fontId="16" fillId="13" borderId="104" xfId="0" applyFont="1" applyFill="1" applyBorder="1" applyAlignment="1">
      <alignment horizontal="left"/>
    </xf>
    <xf numFmtId="3" fontId="9" fillId="0" borderId="105" xfId="0" applyNumberFormat="1" applyFont="1" applyBorder="1"/>
    <xf numFmtId="168" fontId="9" fillId="0" borderId="115" xfId="0" applyNumberFormat="1" applyFont="1" applyBorder="1"/>
    <xf numFmtId="9" fontId="9" fillId="0" borderId="0" xfId="0" applyNumberFormat="1" applyFont="1" applyFill="1" applyAlignment="1">
      <alignment horizontal="center"/>
    </xf>
    <xf numFmtId="0" fontId="9" fillId="14" borderId="106" xfId="0" applyFont="1" applyFill="1" applyBorder="1"/>
    <xf numFmtId="1" fontId="9" fillId="14" borderId="107" xfId="0" applyNumberFormat="1" applyFont="1" applyFill="1" applyBorder="1"/>
    <xf numFmtId="0" fontId="9" fillId="14" borderId="103" xfId="0" applyFont="1" applyFill="1" applyBorder="1"/>
    <xf numFmtId="0" fontId="9" fillId="0" borderId="108" xfId="0" applyFont="1" applyBorder="1"/>
    <xf numFmtId="3" fontId="16" fillId="0" borderId="109" xfId="0" applyNumberFormat="1" applyFont="1" applyBorder="1" applyAlignment="1">
      <alignment horizontal="right" vertical="top"/>
    </xf>
    <xf numFmtId="0" fontId="60" fillId="13" borderId="102" xfId="0" applyFont="1" applyFill="1" applyBorder="1" applyAlignment="1"/>
    <xf numFmtId="3" fontId="60" fillId="0" borderId="103" xfId="0" applyNumberFormat="1" applyFont="1" applyBorder="1"/>
    <xf numFmtId="0" fontId="16" fillId="13" borderId="90" xfId="0" applyFont="1" applyFill="1" applyBorder="1" applyAlignment="1">
      <alignment horizontal="left" vertical="center"/>
    </xf>
    <xf numFmtId="3" fontId="16" fillId="13" borderId="92" xfId="0" applyNumberFormat="1" applyFont="1" applyFill="1" applyBorder="1" applyAlignment="1"/>
    <xf numFmtId="168" fontId="16" fillId="13" borderId="92" xfId="0" applyNumberFormat="1" applyFont="1" applyFill="1" applyBorder="1" applyAlignment="1"/>
    <xf numFmtId="10" fontId="9" fillId="0" borderId="0" xfId="0" applyNumberFormat="1" applyFont="1" applyFill="1"/>
    <xf numFmtId="9" fontId="9" fillId="0" borderId="0" xfId="0" applyNumberFormat="1" applyFont="1"/>
    <xf numFmtId="10" fontId="9" fillId="0" borderId="0" xfId="0" applyNumberFormat="1" applyFont="1"/>
    <xf numFmtId="3" fontId="60" fillId="0" borderId="107" xfId="0" applyNumberFormat="1" applyFont="1" applyBorder="1"/>
    <xf numFmtId="1" fontId="9" fillId="0" borderId="0" xfId="0" applyNumberFormat="1" applyFont="1" applyBorder="1"/>
    <xf numFmtId="1" fontId="9" fillId="0" borderId="23" xfId="0" applyNumberFormat="1" applyFont="1" applyBorder="1"/>
    <xf numFmtId="0" fontId="9" fillId="0" borderId="0" xfId="0" applyFont="1" applyFill="1" applyBorder="1"/>
    <xf numFmtId="0" fontId="9" fillId="0" borderId="0" xfId="0" applyFont="1" applyFill="1"/>
    <xf numFmtId="3" fontId="60" fillId="0" borderId="103" xfId="0" applyNumberFormat="1" applyFont="1" applyFill="1" applyBorder="1" applyAlignment="1"/>
    <xf numFmtId="0" fontId="60" fillId="13" borderId="119" xfId="0" applyFont="1" applyFill="1" applyBorder="1" applyAlignment="1"/>
    <xf numFmtId="0" fontId="9" fillId="0" borderId="0" xfId="0" applyFont="1" applyAlignment="1">
      <alignment horizontal="right"/>
    </xf>
    <xf numFmtId="0" fontId="16" fillId="14" borderId="107" xfId="0" applyFont="1" applyFill="1" applyBorder="1"/>
    <xf numFmtId="0" fontId="9" fillId="14" borderId="110" xfId="0" applyFont="1" applyFill="1" applyBorder="1"/>
    <xf numFmtId="1" fontId="9" fillId="14" borderId="111" xfId="0" applyNumberFormat="1" applyFont="1" applyFill="1" applyBorder="1"/>
    <xf numFmtId="0" fontId="9" fillId="14" borderId="112" xfId="0" applyFont="1" applyFill="1" applyBorder="1"/>
    <xf numFmtId="0" fontId="9" fillId="0" borderId="113" xfId="0" applyFont="1" applyBorder="1"/>
    <xf numFmtId="3" fontId="16" fillId="0" borderId="114" xfId="0" applyNumberFormat="1" applyFont="1" applyBorder="1" applyAlignment="1">
      <alignment horizontal="right" vertical="top"/>
    </xf>
    <xf numFmtId="0" fontId="16" fillId="13" borderId="115" xfId="0" applyFont="1" applyFill="1" applyBorder="1" applyAlignment="1"/>
    <xf numFmtId="3" fontId="16" fillId="0" borderId="105" xfId="0" applyNumberFormat="1" applyFont="1" applyFill="1" applyBorder="1" applyAlignment="1"/>
    <xf numFmtId="3" fontId="16" fillId="14" borderId="95" xfId="0" applyNumberFormat="1" applyFont="1" applyFill="1" applyBorder="1" applyAlignment="1">
      <alignment horizontal="right" vertical="top"/>
    </xf>
    <xf numFmtId="0" fontId="16" fillId="13" borderId="89" xfId="0" applyFont="1" applyFill="1" applyBorder="1" applyAlignment="1"/>
    <xf numFmtId="3" fontId="16" fillId="13" borderId="90" xfId="0" applyNumberFormat="1" applyFont="1" applyFill="1" applyBorder="1" applyAlignment="1"/>
    <xf numFmtId="0" fontId="16" fillId="0" borderId="0" xfId="0" applyFont="1" applyAlignment="1">
      <alignment wrapText="1"/>
    </xf>
    <xf numFmtId="1" fontId="62" fillId="0" borderId="0" xfId="0" applyNumberFormat="1" applyFont="1" applyAlignment="1">
      <alignment horizontal="center"/>
    </xf>
    <xf numFmtId="0" fontId="16" fillId="13" borderId="116" xfId="0" applyFont="1" applyFill="1" applyBorder="1" applyAlignment="1">
      <alignment horizontal="center"/>
    </xf>
    <xf numFmtId="0" fontId="11" fillId="15" borderId="117" xfId="0" applyFont="1" applyFill="1" applyBorder="1" applyAlignment="1">
      <alignment horizontal="center"/>
    </xf>
    <xf numFmtId="0" fontId="11" fillId="15" borderId="118" xfId="0" applyFont="1" applyFill="1" applyBorder="1" applyAlignment="1">
      <alignment horizontal="center"/>
    </xf>
    <xf numFmtId="0" fontId="11" fillId="13" borderId="117" xfId="0" applyFont="1" applyFill="1" applyBorder="1" applyAlignment="1">
      <alignment horizontal="center"/>
    </xf>
    <xf numFmtId="0" fontId="11" fillId="16" borderId="117" xfId="0" applyFont="1" applyFill="1" applyBorder="1" applyAlignment="1">
      <alignment horizontal="center"/>
    </xf>
    <xf numFmtId="0" fontId="11" fillId="17" borderId="117" xfId="0" applyFont="1" applyFill="1" applyBorder="1" applyAlignment="1">
      <alignment horizontal="center"/>
    </xf>
    <xf numFmtId="0" fontId="11" fillId="17" borderId="118" xfId="0" applyFont="1" applyFill="1" applyBorder="1" applyAlignment="1">
      <alignment horizontal="center"/>
    </xf>
    <xf numFmtId="0" fontId="56" fillId="13" borderId="91" xfId="0" applyFont="1" applyFill="1" applyBorder="1" applyAlignment="1">
      <alignment horizontal="center"/>
    </xf>
    <xf numFmtId="0" fontId="11" fillId="15" borderId="119" xfId="0" applyFont="1" applyFill="1" applyBorder="1" applyAlignment="1">
      <alignment horizontal="center"/>
    </xf>
    <xf numFmtId="0" fontId="11" fillId="15" borderId="120" xfId="0" applyFont="1" applyFill="1" applyBorder="1" applyAlignment="1">
      <alignment horizontal="center"/>
    </xf>
    <xf numFmtId="0" fontId="11" fillId="13" borderId="119" xfId="0" applyFont="1" applyFill="1" applyBorder="1" applyAlignment="1">
      <alignment horizontal="center"/>
    </xf>
    <xf numFmtId="0" fontId="11" fillId="16" borderId="119" xfId="0" applyFont="1" applyFill="1" applyBorder="1" applyAlignment="1">
      <alignment horizontal="center"/>
    </xf>
    <xf numFmtId="1" fontId="11" fillId="17" borderId="119" xfId="0" applyNumberFormat="1" applyFont="1" applyFill="1" applyBorder="1" applyAlignment="1">
      <alignment horizontal="center"/>
    </xf>
    <xf numFmtId="0" fontId="11" fillId="17" borderId="120" xfId="0" applyFont="1" applyFill="1" applyBorder="1" applyAlignment="1">
      <alignment horizontal="center"/>
    </xf>
    <xf numFmtId="0" fontId="11" fillId="17" borderId="119" xfId="0" applyFont="1" applyFill="1" applyBorder="1" applyAlignment="1">
      <alignment horizontal="center"/>
    </xf>
    <xf numFmtId="0" fontId="11" fillId="13" borderId="91" xfId="0" applyFont="1" applyFill="1" applyBorder="1" applyAlignment="1">
      <alignment horizontal="center"/>
    </xf>
    <xf numFmtId="9" fontId="11" fillId="15" borderId="120" xfId="0" applyNumberFormat="1" applyFont="1" applyFill="1" applyBorder="1" applyAlignment="1">
      <alignment horizontal="center"/>
    </xf>
    <xf numFmtId="1" fontId="11" fillId="17" borderId="120" xfId="0" applyNumberFormat="1" applyFont="1" applyFill="1" applyBorder="1" applyAlignment="1">
      <alignment horizontal="center"/>
    </xf>
    <xf numFmtId="0" fontId="16" fillId="13" borderId="91" xfId="0" applyFont="1" applyFill="1" applyBorder="1" applyAlignment="1">
      <alignment horizontal="center"/>
    </xf>
    <xf numFmtId="1" fontId="11" fillId="15" borderId="121" xfId="0" applyNumberFormat="1" applyFont="1" applyFill="1" applyBorder="1" applyAlignment="1">
      <alignment horizontal="center"/>
    </xf>
    <xf numFmtId="1" fontId="11" fillId="15" borderId="120" xfId="0" applyNumberFormat="1" applyFont="1" applyFill="1" applyBorder="1" applyAlignment="1">
      <alignment horizontal="center"/>
    </xf>
    <xf numFmtId="1" fontId="11" fillId="15" borderId="17" xfId="0" applyNumberFormat="1" applyFont="1" applyFill="1" applyBorder="1" applyAlignment="1">
      <alignment horizontal="center"/>
    </xf>
    <xf numFmtId="0" fontId="11" fillId="13" borderId="121" xfId="0" applyFont="1" applyFill="1" applyBorder="1" applyAlignment="1">
      <alignment horizontal="center"/>
    </xf>
    <xf numFmtId="1" fontId="11" fillId="16" borderId="119" xfId="0" applyNumberFormat="1" applyFont="1" applyFill="1" applyBorder="1" applyAlignment="1">
      <alignment horizontal="center"/>
    </xf>
    <xf numFmtId="0" fontId="11" fillId="17" borderId="119" xfId="0" applyNumberFormat="1" applyFont="1" applyFill="1" applyBorder="1" applyAlignment="1">
      <alignment horizontal="center"/>
    </xf>
    <xf numFmtId="49" fontId="9" fillId="0" borderId="0" xfId="0" applyNumberFormat="1" applyFont="1"/>
    <xf numFmtId="0" fontId="16" fillId="13" borderId="98" xfId="0" applyFont="1" applyFill="1" applyBorder="1"/>
    <xf numFmtId="3" fontId="9" fillId="15" borderId="98" xfId="0" applyNumberFormat="1" applyFont="1" applyFill="1" applyBorder="1" applyAlignment="1"/>
    <xf numFmtId="3" fontId="57" fillId="15" borderId="98" xfId="0" applyNumberFormat="1" applyFont="1" applyFill="1" applyBorder="1" applyAlignment="1"/>
    <xf numFmtId="3" fontId="9" fillId="15" borderId="96" xfId="0" applyNumberFormat="1" applyFont="1" applyFill="1" applyBorder="1" applyAlignment="1"/>
    <xf numFmtId="3" fontId="9" fillId="15" borderId="128" xfId="0" applyNumberFormat="1" applyFont="1" applyFill="1" applyBorder="1" applyAlignment="1"/>
    <xf numFmtId="3" fontId="9" fillId="13" borderId="96" xfId="0" applyNumberFormat="1" applyFont="1" applyFill="1" applyBorder="1" applyAlignment="1"/>
    <xf numFmtId="3" fontId="9" fillId="13" borderId="97" xfId="0" applyNumberFormat="1" applyFont="1" applyFill="1" applyBorder="1" applyAlignment="1"/>
    <xf numFmtId="3" fontId="9" fillId="16" borderId="96" xfId="0" applyNumberFormat="1" applyFont="1" applyFill="1" applyBorder="1" applyAlignment="1"/>
    <xf numFmtId="3" fontId="9" fillId="0" borderId="96" xfId="0" applyNumberFormat="1" applyFont="1" applyFill="1" applyBorder="1" applyAlignment="1"/>
    <xf numFmtId="166" fontId="16" fillId="17" borderId="99" xfId="0" applyNumberFormat="1" applyFont="1" applyFill="1" applyBorder="1" applyAlignment="1"/>
    <xf numFmtId="3" fontId="9" fillId="0" borderId="96" xfId="0" applyNumberFormat="1" applyFont="1" applyBorder="1"/>
    <xf numFmtId="0" fontId="16" fillId="13" borderId="106" xfId="0" applyFont="1" applyFill="1" applyBorder="1"/>
    <xf numFmtId="3" fontId="9" fillId="15" borderId="106" xfId="0" applyNumberFormat="1" applyFont="1" applyFill="1" applyBorder="1" applyAlignment="1"/>
    <xf numFmtId="3" fontId="57" fillId="15" borderId="106" xfId="0" applyNumberFormat="1" applyFont="1" applyFill="1" applyBorder="1" applyAlignment="1"/>
    <xf numFmtId="3" fontId="9" fillId="15" borderId="102" xfId="0" applyNumberFormat="1" applyFont="1" applyFill="1" applyBorder="1" applyAlignment="1"/>
    <xf numFmtId="3" fontId="9" fillId="13" borderId="102" xfId="0" applyNumberFormat="1" applyFont="1" applyFill="1" applyBorder="1" applyAlignment="1"/>
    <xf numFmtId="3" fontId="9" fillId="13" borderId="103" xfId="0" applyNumberFormat="1" applyFont="1" applyFill="1" applyBorder="1" applyAlignment="1"/>
    <xf numFmtId="3" fontId="9" fillId="16" borderId="102" xfId="0" applyNumberFormat="1" applyFont="1" applyFill="1" applyBorder="1" applyAlignment="1"/>
    <xf numFmtId="3" fontId="9" fillId="0" borderId="102" xfId="0" applyNumberFormat="1" applyFont="1" applyFill="1" applyBorder="1" applyAlignment="1"/>
    <xf numFmtId="166" fontId="16" fillId="17" borderId="107" xfId="0" applyNumberFormat="1" applyFont="1" applyFill="1" applyBorder="1" applyAlignment="1"/>
    <xf numFmtId="3" fontId="9" fillId="0" borderId="102" xfId="0" applyNumberFormat="1" applyFont="1" applyBorder="1"/>
    <xf numFmtId="3" fontId="9" fillId="18" borderId="102" xfId="0" applyNumberFormat="1" applyFont="1" applyFill="1" applyBorder="1" applyAlignment="1"/>
    <xf numFmtId="0" fontId="9" fillId="18" borderId="102" xfId="0" applyFont="1" applyFill="1" applyBorder="1"/>
    <xf numFmtId="1" fontId="9" fillId="18" borderId="102" xfId="0" applyNumberFormat="1" applyFont="1" applyFill="1" applyBorder="1"/>
    <xf numFmtId="1" fontId="9" fillId="19" borderId="102" xfId="0" applyNumberFormat="1" applyFont="1" applyFill="1" applyBorder="1"/>
    <xf numFmtId="0" fontId="62" fillId="0" borderId="0" xfId="0" applyFont="1"/>
    <xf numFmtId="0" fontId="16" fillId="13" borderId="122" xfId="0" applyFont="1" applyFill="1" applyBorder="1"/>
    <xf numFmtId="3" fontId="64" fillId="15" borderId="122" xfId="0" applyNumberFormat="1" applyFont="1" applyFill="1" applyBorder="1" applyAlignment="1"/>
    <xf numFmtId="3" fontId="57" fillId="15" borderId="122" xfId="0" applyNumberFormat="1" applyFont="1" applyFill="1" applyBorder="1" applyAlignment="1"/>
    <xf numFmtId="3" fontId="9" fillId="15" borderId="123" xfId="0" applyNumberFormat="1" applyFont="1" applyFill="1" applyBorder="1" applyAlignment="1"/>
    <xf numFmtId="3" fontId="9" fillId="13" borderId="123" xfId="0" applyNumberFormat="1" applyFont="1" applyFill="1" applyBorder="1" applyAlignment="1"/>
    <xf numFmtId="3" fontId="9" fillId="13" borderId="124" xfId="0" applyNumberFormat="1" applyFont="1" applyFill="1" applyBorder="1" applyAlignment="1"/>
    <xf numFmtId="3" fontId="9" fillId="16" borderId="123" xfId="0" applyNumberFormat="1" applyFont="1" applyFill="1" applyBorder="1" applyAlignment="1"/>
    <xf numFmtId="3" fontId="9" fillId="0" borderId="123" xfId="0" applyNumberFormat="1" applyFont="1" applyFill="1" applyBorder="1" applyAlignment="1"/>
    <xf numFmtId="166" fontId="16" fillId="17" borderId="125" xfId="0" applyNumberFormat="1" applyFont="1" applyFill="1" applyBorder="1" applyAlignment="1"/>
    <xf numFmtId="3" fontId="9" fillId="0" borderId="104" xfId="0" applyNumberFormat="1" applyFont="1" applyBorder="1"/>
    <xf numFmtId="0" fontId="16" fillId="13" borderId="58" xfId="0" applyFont="1" applyFill="1" applyBorder="1"/>
    <xf numFmtId="3" fontId="16" fillId="15" borderId="58" xfId="0" applyNumberFormat="1" applyFont="1" applyFill="1" applyBorder="1" applyAlignment="1"/>
    <xf numFmtId="3" fontId="60" fillId="15" borderId="121" xfId="0" applyNumberFormat="1" applyFont="1" applyFill="1" applyBorder="1" applyAlignment="1"/>
    <xf numFmtId="3" fontId="16" fillId="15" borderId="17" xfId="0" applyNumberFormat="1" applyFont="1" applyFill="1" applyBorder="1" applyAlignment="1"/>
    <xf numFmtId="3" fontId="16" fillId="13" borderId="121" xfId="0" applyNumberFormat="1" applyFont="1" applyFill="1" applyBorder="1" applyAlignment="1"/>
    <xf numFmtId="3" fontId="16" fillId="16" borderId="121" xfId="0" applyNumberFormat="1" applyFont="1" applyFill="1" applyBorder="1" applyAlignment="1"/>
    <xf numFmtId="3" fontId="9" fillId="0" borderId="121" xfId="0" applyNumberFormat="1" applyFont="1" applyBorder="1" applyAlignment="1"/>
    <xf numFmtId="166" fontId="16" fillId="17" borderId="126" xfId="0" applyNumberFormat="1" applyFont="1" applyFill="1" applyBorder="1" applyAlignment="1"/>
    <xf numFmtId="3" fontId="9" fillId="0" borderId="90" xfId="0" applyNumberFormat="1" applyFont="1" applyBorder="1"/>
    <xf numFmtId="3" fontId="10" fillId="0" borderId="0" xfId="0" applyNumberFormat="1" applyFont="1"/>
    <xf numFmtId="3" fontId="9" fillId="0" borderId="0" xfId="0" applyNumberFormat="1" applyFont="1"/>
    <xf numFmtId="0" fontId="9" fillId="0" borderId="0" xfId="0" applyFont="1" applyBorder="1"/>
    <xf numFmtId="3" fontId="9" fillId="0" borderId="0" xfId="0" applyNumberFormat="1" applyFont="1" applyBorder="1"/>
    <xf numFmtId="0" fontId="9" fillId="0" borderId="0" xfId="0" applyFont="1" applyBorder="1" applyAlignment="1">
      <alignment horizontal="left" vertical="top"/>
    </xf>
    <xf numFmtId="0" fontId="16" fillId="0" borderId="0" xfId="0" applyFont="1" applyFill="1" applyBorder="1"/>
    <xf numFmtId="0" fontId="56" fillId="0" borderId="0" xfId="0" applyFont="1" applyBorder="1" applyAlignment="1">
      <alignment horizontal="center" vertical="center"/>
    </xf>
    <xf numFmtId="0" fontId="11" fillId="20" borderId="117" xfId="0" applyFont="1" applyFill="1" applyBorder="1" applyAlignment="1">
      <alignment horizontal="center"/>
    </xf>
    <xf numFmtId="0" fontId="11" fillId="20" borderId="118" xfId="0" applyFont="1" applyFill="1" applyBorder="1" applyAlignment="1">
      <alignment horizontal="center"/>
    </xf>
    <xf numFmtId="0" fontId="11" fillId="20" borderId="119" xfId="0" applyFont="1" applyFill="1" applyBorder="1" applyAlignment="1">
      <alignment horizontal="center"/>
    </xf>
    <xf numFmtId="0" fontId="11" fillId="20" borderId="120" xfId="0" applyFont="1" applyFill="1" applyBorder="1" applyAlignment="1">
      <alignment horizontal="center"/>
    </xf>
    <xf numFmtId="0" fontId="9" fillId="0" borderId="0" xfId="0" applyFont="1" applyBorder="1" applyAlignment="1"/>
    <xf numFmtId="3" fontId="9" fillId="0" borderId="0" xfId="0" applyNumberFormat="1" applyFont="1" applyBorder="1" applyAlignment="1">
      <alignment horizontal="right"/>
    </xf>
    <xf numFmtId="3" fontId="9" fillId="0" borderId="0" xfId="0" applyNumberFormat="1" applyFont="1" applyBorder="1" applyAlignment="1">
      <alignment horizontal="right" vertical="top"/>
    </xf>
    <xf numFmtId="166" fontId="9" fillId="0" borderId="0" xfId="0" applyNumberFormat="1" applyFont="1" applyBorder="1" applyAlignment="1">
      <alignment horizontal="center" vertical="top"/>
    </xf>
    <xf numFmtId="1" fontId="11" fillId="20" borderId="121" xfId="0" applyNumberFormat="1" applyFont="1" applyFill="1" applyBorder="1" applyAlignment="1">
      <alignment horizontal="center"/>
    </xf>
    <xf numFmtId="1" fontId="11" fillId="20" borderId="120" xfId="0" applyNumberFormat="1" applyFont="1" applyFill="1" applyBorder="1" applyAlignment="1">
      <alignment horizontal="center"/>
    </xf>
    <xf numFmtId="0" fontId="16" fillId="20" borderId="98" xfId="0" applyFont="1" applyFill="1" applyBorder="1"/>
    <xf numFmtId="168" fontId="9" fillId="0" borderId="96" xfId="0" applyNumberFormat="1" applyFont="1" applyBorder="1" applyAlignment="1">
      <alignment horizontal="right"/>
    </xf>
    <xf numFmtId="3" fontId="9" fillId="0" borderId="96" xfId="0" applyNumberFormat="1" applyFont="1" applyBorder="1" applyAlignment="1">
      <alignment horizontal="right"/>
    </xf>
    <xf numFmtId="0" fontId="16" fillId="20" borderId="106" xfId="0" applyFont="1" applyFill="1" applyBorder="1"/>
    <xf numFmtId="168" fontId="9" fillId="0" borderId="102" xfId="0" applyNumberFormat="1" applyFont="1" applyBorder="1" applyAlignment="1">
      <alignment horizontal="right"/>
    </xf>
    <xf numFmtId="3" fontId="9" fillId="0" borderId="102" xfId="0" applyNumberFormat="1" applyFont="1" applyBorder="1" applyAlignment="1">
      <alignment horizontal="right"/>
    </xf>
    <xf numFmtId="0" fontId="9" fillId="0" borderId="0" xfId="0" applyFont="1" applyFill="1" applyBorder="1" applyAlignment="1"/>
    <xf numFmtId="3" fontId="9" fillId="0" borderId="0" xfId="0" applyNumberFormat="1" applyFont="1" applyBorder="1" applyAlignment="1">
      <alignment horizontal="left" vertical="top"/>
    </xf>
    <xf numFmtId="0" fontId="16" fillId="20" borderId="110" xfId="0" applyFont="1" applyFill="1" applyBorder="1"/>
    <xf numFmtId="168" fontId="9" fillId="0" borderId="115" xfId="0" applyNumberFormat="1" applyFont="1" applyBorder="1" applyAlignment="1">
      <alignment horizontal="right"/>
    </xf>
    <xf numFmtId="3" fontId="9" fillId="0" borderId="127" xfId="0" applyNumberFormat="1" applyFont="1" applyBorder="1" applyAlignment="1">
      <alignment horizontal="right"/>
    </xf>
    <xf numFmtId="0" fontId="16" fillId="20" borderId="58" xfId="0" applyFont="1" applyFill="1" applyBorder="1"/>
    <xf numFmtId="168" fontId="16" fillId="20" borderId="58" xfId="0" applyNumberFormat="1" applyFont="1" applyFill="1" applyBorder="1" applyAlignment="1">
      <alignment horizontal="right"/>
    </xf>
    <xf numFmtId="3" fontId="16" fillId="20" borderId="90" xfId="0" applyNumberFormat="1" applyFont="1" applyFill="1" applyBorder="1" applyAlignment="1">
      <alignment horizontal="right"/>
    </xf>
    <xf numFmtId="0" fontId="9" fillId="0" borderId="0" xfId="0" applyFont="1" applyAlignment="1">
      <alignment horizontal="center"/>
    </xf>
    <xf numFmtId="0" fontId="9" fillId="0" borderId="0" xfId="0" applyFont="1" applyBorder="1" applyAlignment="1">
      <alignment horizontal="center"/>
    </xf>
    <xf numFmtId="2" fontId="9" fillId="0" borderId="0" xfId="0" applyNumberFormat="1" applyFont="1" applyBorder="1"/>
    <xf numFmtId="166" fontId="9" fillId="0" borderId="0" xfId="0" applyNumberFormat="1" applyFont="1" applyBorder="1"/>
    <xf numFmtId="2" fontId="9" fillId="0" borderId="0" xfId="0" applyNumberFormat="1" applyFont="1"/>
    <xf numFmtId="166" fontId="9" fillId="0" borderId="0" xfId="0" applyNumberFormat="1" applyFont="1"/>
    <xf numFmtId="0" fontId="10" fillId="0" borderId="0" xfId="0" applyFont="1" applyAlignment="1">
      <alignment horizontal="center" wrapText="1"/>
    </xf>
    <xf numFmtId="10" fontId="10" fillId="0" borderId="0" xfId="0" applyNumberFormat="1" applyFont="1" applyAlignment="1"/>
    <xf numFmtId="0" fontId="11" fillId="0" borderId="0" xfId="0" applyFont="1" applyAlignment="1">
      <alignment horizontal="center" wrapText="1"/>
    </xf>
    <xf numFmtId="10" fontId="11" fillId="0" borderId="0" xfId="0" applyNumberFormat="1" applyFont="1" applyAlignment="1"/>
    <xf numFmtId="0" fontId="16" fillId="0" borderId="0" xfId="0" applyFont="1" applyAlignment="1">
      <alignment horizontal="center"/>
    </xf>
    <xf numFmtId="0" fontId="38" fillId="0" borderId="0" xfId="44" applyFont="1"/>
    <xf numFmtId="0" fontId="26" fillId="0" borderId="0" xfId="44" applyFont="1"/>
    <xf numFmtId="0" fontId="49" fillId="0" borderId="0" xfId="44" applyFont="1"/>
    <xf numFmtId="0" fontId="25" fillId="0" borderId="0" xfId="44" applyFont="1"/>
    <xf numFmtId="0" fontId="39" fillId="5" borderId="0" xfId="44" applyFont="1" applyFill="1"/>
    <xf numFmtId="0" fontId="29" fillId="0" borderId="0" xfId="44" applyFont="1"/>
    <xf numFmtId="0" fontId="10" fillId="6" borderId="9" xfId="44" applyFont="1" applyFill="1" applyBorder="1" applyAlignment="1">
      <alignment horizontal="center"/>
    </xf>
    <xf numFmtId="0" fontId="29" fillId="0" borderId="9" xfId="44" applyFont="1" applyBorder="1"/>
    <xf numFmtId="167" fontId="29" fillId="0" borderId="9" xfId="44" applyNumberFormat="1" applyFont="1" applyBorder="1"/>
    <xf numFmtId="167" fontId="39" fillId="0" borderId="9" xfId="44" applyNumberFormat="1" applyFont="1" applyBorder="1"/>
    <xf numFmtId="3" fontId="49" fillId="0" borderId="0" xfId="44" applyNumberFormat="1" applyFont="1"/>
    <xf numFmtId="164" fontId="39" fillId="6" borderId="9" xfId="44" applyNumberFormat="1" applyFont="1" applyFill="1" applyBorder="1"/>
    <xf numFmtId="6" fontId="39" fillId="6" borderId="9" xfId="44" applyNumberFormat="1" applyFont="1" applyFill="1" applyBorder="1"/>
    <xf numFmtId="167" fontId="49" fillId="0" borderId="0" xfId="44" applyNumberFormat="1" applyFont="1"/>
    <xf numFmtId="0" fontId="29" fillId="0" borderId="37" xfId="44" applyFont="1" applyBorder="1"/>
    <xf numFmtId="167" fontId="29" fillId="0" borderId="37" xfId="44" applyNumberFormat="1" applyFont="1" applyBorder="1"/>
    <xf numFmtId="3" fontId="49" fillId="0" borderId="0" xfId="44" applyNumberFormat="1" applyFont="1" applyBorder="1"/>
    <xf numFmtId="0" fontId="29" fillId="0" borderId="0" xfId="44" applyFont="1" applyBorder="1"/>
    <xf numFmtId="0" fontId="29" fillId="6" borderId="9" xfId="44" applyFont="1" applyFill="1" applyBorder="1"/>
    <xf numFmtId="167" fontId="29" fillId="6" borderId="9" xfId="44" applyNumberFormat="1" applyFont="1" applyFill="1" applyBorder="1"/>
    <xf numFmtId="3" fontId="49" fillId="0" borderId="0" xfId="44" applyNumberFormat="1" applyFont="1" applyFill="1"/>
    <xf numFmtId="0" fontId="29" fillId="0" borderId="0" xfId="44" applyFont="1" applyFill="1"/>
    <xf numFmtId="6" fontId="49" fillId="0" borderId="9" xfId="44" applyNumberFormat="1" applyFont="1" applyBorder="1" applyAlignment="1">
      <alignment horizontal="left"/>
    </xf>
    <xf numFmtId="6" fontId="49" fillId="0" borderId="9" xfId="44" applyNumberFormat="1" applyFont="1" applyBorder="1"/>
    <xf numFmtId="6" fontId="49" fillId="11" borderId="9" xfId="44" applyNumberFormat="1" applyFont="1" applyFill="1" applyBorder="1"/>
    <xf numFmtId="6" fontId="29" fillId="6" borderId="9" xfId="44" applyNumberFormat="1" applyFont="1" applyFill="1" applyBorder="1" applyAlignment="1">
      <alignment vertical="center" wrapText="1"/>
    </xf>
    <xf numFmtId="6" fontId="29" fillId="6" borderId="9" xfId="44" applyNumberFormat="1" applyFont="1" applyFill="1" applyBorder="1" applyAlignment="1">
      <alignment vertical="center"/>
    </xf>
    <xf numFmtId="3" fontId="49" fillId="0" borderId="0" xfId="44" applyNumberFormat="1" applyFont="1" applyFill="1" applyBorder="1" applyAlignment="1">
      <alignment vertical="center"/>
    </xf>
    <xf numFmtId="0" fontId="29" fillId="0" borderId="0" xfId="44" applyFont="1" applyFill="1" applyBorder="1"/>
    <xf numFmtId="0" fontId="39" fillId="0" borderId="23" xfId="44" applyFont="1" applyBorder="1"/>
    <xf numFmtId="167" fontId="39" fillId="0" borderId="23" xfId="44" applyNumberFormat="1" applyFont="1" applyBorder="1"/>
    <xf numFmtId="164" fontId="49" fillId="0" borderId="0" xfId="44" applyNumberFormat="1" applyFont="1"/>
    <xf numFmtId="3" fontId="49" fillId="0" borderId="0" xfId="44" applyNumberFormat="1" applyFont="1" applyAlignment="1">
      <alignment vertical="center"/>
    </xf>
    <xf numFmtId="0" fontId="29" fillId="0" borderId="0" xfId="44" applyFont="1" applyAlignment="1">
      <alignment vertical="center"/>
    </xf>
    <xf numFmtId="6" fontId="29" fillId="0" borderId="0" xfId="44" applyNumberFormat="1" applyFont="1" applyBorder="1"/>
    <xf numFmtId="0" fontId="49" fillId="0" borderId="9" xfId="44" applyFont="1" applyBorder="1" applyAlignment="1">
      <alignment horizontal="left"/>
    </xf>
    <xf numFmtId="167" fontId="49" fillId="0" borderId="9" xfId="44" applyNumberFormat="1" applyFont="1" applyBorder="1"/>
    <xf numFmtId="0" fontId="29" fillId="6" borderId="9" xfId="44" applyFont="1" applyFill="1" applyBorder="1" applyAlignment="1">
      <alignment vertical="center" wrapText="1"/>
    </xf>
    <xf numFmtId="167" fontId="29" fillId="6" borderId="9" xfId="44" applyNumberFormat="1" applyFont="1" applyFill="1" applyBorder="1" applyAlignment="1">
      <alignment vertical="center"/>
    </xf>
    <xf numFmtId="167" fontId="48" fillId="6" borderId="9" xfId="44" applyNumberFormat="1" applyFont="1" applyFill="1" applyBorder="1" applyAlignment="1">
      <alignment vertical="center"/>
    </xf>
    <xf numFmtId="0" fontId="39" fillId="0" borderId="0" xfId="44" applyFont="1" applyFill="1" applyBorder="1" applyAlignment="1">
      <alignment wrapText="1"/>
    </xf>
    <xf numFmtId="167" fontId="39" fillId="0" borderId="0" xfId="44" applyNumberFormat="1" applyFont="1" applyFill="1" applyBorder="1"/>
    <xf numFmtId="0" fontId="49" fillId="0" borderId="0" xfId="44" applyFont="1" applyFill="1" applyBorder="1"/>
    <xf numFmtId="0" fontId="11" fillId="9" borderId="9" xfId="44" applyFont="1" applyFill="1" applyBorder="1" applyAlignment="1">
      <alignment horizontal="center"/>
    </xf>
    <xf numFmtId="0" fontId="41" fillId="0" borderId="0" xfId="44" applyFont="1" applyFill="1"/>
    <xf numFmtId="0" fontId="39" fillId="0" borderId="0" xfId="44" applyFont="1" applyFill="1"/>
    <xf numFmtId="0" fontId="39" fillId="9" borderId="9" xfId="44" applyFont="1" applyFill="1" applyBorder="1" applyAlignment="1">
      <alignment horizontal="center" vertical="center" wrapText="1"/>
    </xf>
    <xf numFmtId="167" fontId="39" fillId="9" borderId="9" xfId="44" applyNumberFormat="1" applyFont="1" applyFill="1" applyBorder="1" applyAlignment="1">
      <alignment vertical="center"/>
    </xf>
    <xf numFmtId="3" fontId="49" fillId="0" borderId="0" xfId="44" applyNumberFormat="1" applyFont="1" applyFill="1" applyAlignment="1">
      <alignment vertical="center"/>
    </xf>
    <xf numFmtId="0" fontId="39" fillId="0" borderId="0" xfId="44" applyFont="1" applyFill="1" applyAlignment="1">
      <alignment vertical="center"/>
    </xf>
    <xf numFmtId="0" fontId="49" fillId="0" borderId="0" xfId="44" applyFont="1" applyFill="1"/>
    <xf numFmtId="0" fontId="39" fillId="2" borderId="0" xfId="44" applyFont="1" applyFill="1"/>
    <xf numFmtId="3" fontId="29" fillId="0" borderId="0" xfId="44" applyNumberFormat="1" applyFont="1"/>
    <xf numFmtId="0" fontId="22" fillId="6" borderId="9" xfId="44" applyFont="1" applyFill="1" applyBorder="1" applyAlignment="1">
      <alignment horizontal="center"/>
    </xf>
    <xf numFmtId="3" fontId="29" fillId="0" borderId="0" xfId="44" applyNumberFormat="1" applyFont="1" applyFill="1"/>
    <xf numFmtId="167" fontId="39" fillId="0" borderId="9" xfId="44" applyNumberFormat="1" applyFont="1" applyFill="1" applyBorder="1"/>
    <xf numFmtId="0" fontId="39" fillId="2" borderId="9" xfId="44" applyFont="1" applyFill="1" applyBorder="1"/>
    <xf numFmtId="167" fontId="39" fillId="2" borderId="9" xfId="44" applyNumberFormat="1" applyFont="1" applyFill="1" applyBorder="1"/>
    <xf numFmtId="0" fontId="39" fillId="0" borderId="0" xfId="44" applyFont="1" applyFill="1" applyBorder="1"/>
    <xf numFmtId="164" fontId="39" fillId="0" borderId="0" xfId="44" applyNumberFormat="1" applyFont="1" applyFill="1" applyBorder="1"/>
    <xf numFmtId="0" fontId="39" fillId="5" borderId="0" xfId="44" applyFont="1" applyFill="1" applyBorder="1" applyAlignment="1">
      <alignment horizontal="left" vertical="center"/>
    </xf>
    <xf numFmtId="0" fontId="10" fillId="0" borderId="0" xfId="44" applyFont="1" applyFill="1" applyBorder="1" applyAlignment="1">
      <alignment horizontal="center"/>
    </xf>
    <xf numFmtId="0" fontId="39" fillId="5" borderId="9" xfId="44" applyFont="1" applyFill="1" applyBorder="1"/>
    <xf numFmtId="167" fontId="39" fillId="5" borderId="9" xfId="44" applyNumberFormat="1" applyFont="1" applyFill="1" applyBorder="1"/>
    <xf numFmtId="0" fontId="29" fillId="0" borderId="0" xfId="44" applyFont="1" applyFill="1" applyBorder="1" applyAlignment="1">
      <alignment horizontal="center" vertical="center"/>
    </xf>
    <xf numFmtId="167" fontId="10" fillId="0" borderId="55" xfId="44" applyNumberFormat="1" applyFont="1" applyFill="1" applyBorder="1" applyAlignment="1">
      <alignment horizontal="center"/>
    </xf>
    <xf numFmtId="165" fontId="10" fillId="0" borderId="0" xfId="44" applyNumberFormat="1" applyFont="1" applyFill="1" applyBorder="1" applyAlignment="1">
      <alignment horizontal="center"/>
    </xf>
    <xf numFmtId="3" fontId="29" fillId="0" borderId="0" xfId="44" applyNumberFormat="1" applyFont="1" applyFill="1" applyBorder="1"/>
    <xf numFmtId="0" fontId="10" fillId="0" borderId="0" xfId="44" applyFont="1" applyAlignment="1">
      <alignment horizontal="right"/>
    </xf>
    <xf numFmtId="165" fontId="29" fillId="0" borderId="0" xfId="44" applyNumberFormat="1" applyFont="1"/>
    <xf numFmtId="165" fontId="11" fillId="5" borderId="3" xfId="0" applyNumberFormat="1" applyFont="1" applyFill="1" applyBorder="1" applyProtection="1">
      <protection hidden="1"/>
    </xf>
    <xf numFmtId="2" fontId="10" fillId="0" borderId="0" xfId="0" applyNumberFormat="1" applyFont="1" applyAlignment="1">
      <alignment horizontal="right"/>
    </xf>
    <xf numFmtId="0" fontId="13" fillId="0" borderId="0" xfId="0" applyFont="1" applyAlignment="1">
      <alignment horizontal="right"/>
    </xf>
    <xf numFmtId="0" fontId="66" fillId="0" borderId="0" xfId="0" applyFont="1" applyAlignment="1">
      <alignment horizontal="left"/>
    </xf>
    <xf numFmtId="0" fontId="69" fillId="0" borderId="0" xfId="0" applyFont="1" applyAlignment="1">
      <alignment horizontal="left"/>
    </xf>
    <xf numFmtId="0" fontId="13" fillId="0" borderId="0" xfId="0" applyFont="1" applyFill="1" applyAlignment="1">
      <alignment horizontal="right"/>
    </xf>
    <xf numFmtId="169" fontId="68" fillId="0" borderId="0" xfId="0" applyNumberFormat="1" applyFont="1"/>
    <xf numFmtId="171" fontId="10" fillId="0" borderId="3" xfId="0" applyNumberFormat="1" applyFont="1" applyBorder="1"/>
    <xf numFmtId="171" fontId="10" fillId="0" borderId="9" xfId="0" applyNumberFormat="1" applyFont="1" applyBorder="1"/>
    <xf numFmtId="171" fontId="13" fillId="0" borderId="9" xfId="0" applyNumberFormat="1" applyFont="1" applyBorder="1"/>
    <xf numFmtId="171" fontId="10" fillId="0" borderId="13" xfId="0" applyNumberFormat="1" applyFont="1" applyBorder="1"/>
    <xf numFmtId="171" fontId="11" fillId="2" borderId="3" xfId="0" applyNumberFormat="1" applyFont="1" applyFill="1" applyBorder="1"/>
    <xf numFmtId="171" fontId="13" fillId="0" borderId="9" xfId="0" applyNumberFormat="1" applyFont="1" applyFill="1" applyBorder="1"/>
    <xf numFmtId="171" fontId="10" fillId="0" borderId="0" xfId="0" applyNumberFormat="1" applyFont="1" applyAlignment="1">
      <alignment horizontal="right"/>
    </xf>
    <xf numFmtId="171" fontId="13" fillId="0" borderId="0" xfId="0" applyNumberFormat="1" applyFont="1" applyFill="1"/>
    <xf numFmtId="171" fontId="13" fillId="0" borderId="0" xfId="0" applyNumberFormat="1" applyFont="1" applyAlignment="1">
      <alignment horizontal="right"/>
    </xf>
    <xf numFmtId="171" fontId="10" fillId="0" borderId="0" xfId="0" applyNumberFormat="1" applyFont="1"/>
    <xf numFmtId="171" fontId="13" fillId="0" borderId="0" xfId="0" applyNumberFormat="1" applyFont="1"/>
    <xf numFmtId="0" fontId="0" fillId="0" borderId="0" xfId="0" quotePrefix="1"/>
    <xf numFmtId="0" fontId="0" fillId="0" borderId="0" xfId="0"/>
    <xf numFmtId="0" fontId="10" fillId="0" borderId="6" xfId="0" applyFont="1" applyFill="1" applyBorder="1"/>
    <xf numFmtId="0" fontId="10" fillId="0" borderId="8" xfId="0" applyFont="1" applyFill="1" applyBorder="1"/>
    <xf numFmtId="0" fontId="10" fillId="0" borderId="0" xfId="0" applyFont="1"/>
    <xf numFmtId="0" fontId="10" fillId="0" borderId="0" xfId="0" applyFont="1" applyFill="1" applyBorder="1"/>
    <xf numFmtId="3" fontId="10" fillId="0" borderId="2" xfId="0" applyNumberFormat="1" applyFont="1" applyFill="1" applyBorder="1"/>
    <xf numFmtId="3" fontId="10" fillId="0" borderId="8" xfId="0" applyNumberFormat="1" applyFont="1" applyFill="1" applyBorder="1"/>
    <xf numFmtId="0" fontId="2" fillId="0" borderId="0" xfId="46"/>
    <xf numFmtId="0" fontId="2" fillId="0" borderId="0" xfId="46" quotePrefix="1"/>
    <xf numFmtId="0" fontId="2" fillId="0" borderId="0" xfId="47"/>
    <xf numFmtId="0" fontId="5" fillId="0" borderId="0" xfId="41" applyFill="1"/>
    <xf numFmtId="3" fontId="10" fillId="0" borderId="1" xfId="0" applyNumberFormat="1" applyFont="1" applyFill="1" applyBorder="1"/>
    <xf numFmtId="3" fontId="10" fillId="0" borderId="6" xfId="0" applyNumberFormat="1" applyFont="1" applyFill="1" applyBorder="1"/>
    <xf numFmtId="3" fontId="13" fillId="0" borderId="6" xfId="0" applyNumberFormat="1" applyFont="1" applyFill="1" applyBorder="1"/>
    <xf numFmtId="1" fontId="58" fillId="0" borderId="0" xfId="48" applyNumberFormat="1" applyFont="1"/>
    <xf numFmtId="1" fontId="58" fillId="0" borderId="0" xfId="48" applyNumberFormat="1" applyFont="1" applyAlignment="1">
      <alignment horizontal="right"/>
    </xf>
    <xf numFmtId="1" fontId="16" fillId="0" borderId="0" xfId="48" applyNumberFormat="1" applyFont="1"/>
    <xf numFmtId="1" fontId="9" fillId="0" borderId="0" xfId="48" applyNumberFormat="1" applyFont="1"/>
    <xf numFmtId="0" fontId="9" fillId="0" borderId="0" xfId="48" applyFont="1"/>
    <xf numFmtId="1" fontId="58" fillId="0" borderId="0" xfId="48" applyNumberFormat="1" applyFont="1" applyAlignment="1">
      <alignment horizontal="left"/>
    </xf>
    <xf numFmtId="0" fontId="16" fillId="0" borderId="0" xfId="48" applyFont="1"/>
    <xf numFmtId="0" fontId="16" fillId="13" borderId="89" xfId="48" applyFont="1" applyFill="1" applyBorder="1" applyAlignment="1">
      <alignment horizontal="center"/>
    </xf>
    <xf numFmtId="1" fontId="16" fillId="13" borderId="90" xfId="48" applyNumberFormat="1" applyFont="1" applyFill="1" applyBorder="1" applyAlignment="1">
      <alignment horizontal="right"/>
    </xf>
    <xf numFmtId="1" fontId="16" fillId="0" borderId="91" xfId="48" applyNumberFormat="1" applyFont="1" applyFill="1" applyBorder="1" applyAlignment="1">
      <alignment horizontal="right"/>
    </xf>
    <xf numFmtId="0" fontId="16" fillId="13" borderId="90" xfId="48" applyFont="1" applyFill="1" applyBorder="1" applyAlignment="1"/>
    <xf numFmtId="0" fontId="16" fillId="13" borderId="92" xfId="48" applyFont="1" applyFill="1" applyBorder="1" applyAlignment="1">
      <alignment horizontal="right"/>
    </xf>
    <xf numFmtId="0" fontId="16" fillId="14" borderId="89" xfId="48" applyFont="1" applyFill="1" applyBorder="1" applyAlignment="1">
      <alignment horizontal="left" vertical="top"/>
    </xf>
    <xf numFmtId="0" fontId="16" fillId="14" borderId="93" xfId="48" applyFont="1" applyFill="1" applyBorder="1" applyAlignment="1">
      <alignment horizontal="left" vertical="top"/>
    </xf>
    <xf numFmtId="0" fontId="16" fillId="14" borderId="92" xfId="48" applyFont="1" applyFill="1" applyBorder="1" applyAlignment="1">
      <alignment horizontal="left" vertical="top"/>
    </xf>
    <xf numFmtId="0" fontId="16" fillId="14" borderId="94" xfId="48" applyFont="1" applyFill="1" applyBorder="1" applyAlignment="1">
      <alignment horizontal="right" vertical="top"/>
    </xf>
    <xf numFmtId="0" fontId="16" fillId="14" borderId="95" xfId="48" applyFont="1" applyFill="1" applyBorder="1" applyAlignment="1">
      <alignment horizontal="right" vertical="top"/>
    </xf>
    <xf numFmtId="0" fontId="9" fillId="0" borderId="0" xfId="48" applyFont="1" applyAlignment="1">
      <alignment horizontal="left" vertical="top"/>
    </xf>
    <xf numFmtId="0" fontId="16" fillId="13" borderId="96" xfId="48" applyFont="1" applyFill="1" applyBorder="1" applyAlignment="1"/>
    <xf numFmtId="3" fontId="16" fillId="0" borderId="97" xfId="48" applyNumberFormat="1" applyFont="1" applyFill="1" applyBorder="1" applyAlignment="1"/>
    <xf numFmtId="3" fontId="16" fillId="0" borderId="91" xfId="48" applyNumberFormat="1" applyFont="1" applyFill="1" applyBorder="1" applyAlignment="1"/>
    <xf numFmtId="0" fontId="16" fillId="13" borderId="96" xfId="48" applyFont="1" applyFill="1" applyBorder="1" applyAlignment="1">
      <alignment horizontal="left"/>
    </xf>
    <xf numFmtId="3" fontId="9" fillId="0" borderId="97" xfId="48" applyNumberFormat="1" applyFont="1" applyBorder="1"/>
    <xf numFmtId="168" fontId="9" fillId="0" borderId="96" xfId="48" applyNumberFormat="1" applyFont="1" applyBorder="1"/>
    <xf numFmtId="9" fontId="9" fillId="0" borderId="0" xfId="48" applyNumberFormat="1" applyFont="1" applyAlignment="1">
      <alignment horizontal="center"/>
    </xf>
    <xf numFmtId="0" fontId="9" fillId="14" borderId="98" xfId="48" applyFont="1" applyFill="1" applyBorder="1"/>
    <xf numFmtId="1" fontId="9" fillId="14" borderId="99" xfId="48" applyNumberFormat="1" applyFont="1" applyFill="1" applyBorder="1"/>
    <xf numFmtId="0" fontId="9" fillId="14" borderId="97" xfId="48" applyFont="1" applyFill="1" applyBorder="1"/>
    <xf numFmtId="0" fontId="9" fillId="0" borderId="100" xfId="48" applyFont="1" applyBorder="1"/>
    <xf numFmtId="3" fontId="16" fillId="0" borderId="101" xfId="48" applyNumberFormat="1" applyFont="1" applyBorder="1" applyAlignment="1">
      <alignment horizontal="right" vertical="top"/>
    </xf>
    <xf numFmtId="0" fontId="16" fillId="13" borderId="102" xfId="48" applyFont="1" applyFill="1" applyBorder="1" applyAlignment="1"/>
    <xf numFmtId="3" fontId="16" fillId="0" borderId="103" xfId="48" applyNumberFormat="1" applyFont="1" applyFill="1" applyBorder="1" applyAlignment="1"/>
    <xf numFmtId="0" fontId="16" fillId="13" borderId="104" xfId="48" applyFont="1" applyFill="1" applyBorder="1" applyAlignment="1">
      <alignment horizontal="left"/>
    </xf>
    <xf numFmtId="3" fontId="9" fillId="0" borderId="105" xfId="48" applyNumberFormat="1" applyFont="1" applyBorder="1"/>
    <xf numFmtId="168" fontId="9" fillId="0" borderId="115" xfId="48" applyNumberFormat="1" applyFont="1" applyBorder="1"/>
    <xf numFmtId="9" fontId="9" fillId="0" borderId="0" xfId="48" applyNumberFormat="1" applyFont="1" applyFill="1" applyAlignment="1">
      <alignment horizontal="center"/>
    </xf>
    <xf numFmtId="0" fontId="9" fillId="14" borderId="106" xfId="48" applyFont="1" applyFill="1" applyBorder="1"/>
    <xf numFmtId="1" fontId="9" fillId="14" borderId="107" xfId="48" applyNumberFormat="1" applyFont="1" applyFill="1" applyBorder="1"/>
    <xf numFmtId="0" fontId="9" fillId="14" borderId="103" xfId="48" applyFont="1" applyFill="1" applyBorder="1"/>
    <xf numFmtId="0" fontId="9" fillId="0" borderId="108" xfId="48" applyFont="1" applyBorder="1"/>
    <xf numFmtId="3" fontId="16" fillId="0" borderId="109" xfId="48" applyNumberFormat="1" applyFont="1" applyBorder="1" applyAlignment="1">
      <alignment horizontal="right" vertical="top"/>
    </xf>
    <xf numFmtId="0" fontId="60" fillId="13" borderId="102" xfId="48" applyFont="1" applyFill="1" applyBorder="1" applyAlignment="1"/>
    <xf numFmtId="3" fontId="60" fillId="0" borderId="103" xfId="48" applyNumberFormat="1" applyFont="1" applyBorder="1"/>
    <xf numFmtId="0" fontId="16" fillId="13" borderId="90" xfId="48" applyFont="1" applyFill="1" applyBorder="1" applyAlignment="1">
      <alignment horizontal="left" vertical="center"/>
    </xf>
    <xf numFmtId="3" fontId="16" fillId="13" borderId="92" xfId="48" applyNumberFormat="1" applyFont="1" applyFill="1" applyBorder="1" applyAlignment="1"/>
    <xf numFmtId="168" fontId="16" fillId="13" borderId="92" xfId="48" applyNumberFormat="1" applyFont="1" applyFill="1" applyBorder="1" applyAlignment="1"/>
    <xf numFmtId="10" fontId="9" fillId="0" borderId="0" xfId="48" applyNumberFormat="1" applyFont="1" applyFill="1"/>
    <xf numFmtId="9" fontId="9" fillId="0" borderId="0" xfId="48" applyNumberFormat="1" applyFont="1"/>
    <xf numFmtId="10" fontId="9" fillId="0" borderId="0" xfId="48" applyNumberFormat="1" applyFont="1"/>
    <xf numFmtId="3" fontId="60" fillId="0" borderId="107" xfId="48" applyNumberFormat="1" applyFont="1" applyBorder="1"/>
    <xf numFmtId="1" fontId="9" fillId="0" borderId="0" xfId="48" applyNumberFormat="1" applyFont="1" applyBorder="1"/>
    <xf numFmtId="1" fontId="9" fillId="0" borderId="23" xfId="48" applyNumberFormat="1" applyFont="1" applyBorder="1"/>
    <xf numFmtId="0" fontId="9" fillId="0" borderId="0" xfId="48" applyFont="1" applyFill="1" applyBorder="1"/>
    <xf numFmtId="0" fontId="9" fillId="0" borderId="0" xfId="48" applyFont="1" applyFill="1"/>
    <xf numFmtId="3" fontId="60" fillId="0" borderId="103" xfId="48" applyNumberFormat="1" applyFont="1" applyFill="1" applyBorder="1" applyAlignment="1"/>
    <xf numFmtId="0" fontId="60" fillId="13" borderId="119" xfId="48" applyFont="1" applyFill="1" applyBorder="1" applyAlignment="1"/>
    <xf numFmtId="0" fontId="9" fillId="0" borderId="0" xfId="48" applyFont="1" applyAlignment="1">
      <alignment horizontal="right"/>
    </xf>
    <xf numFmtId="0" fontId="16" fillId="14" borderId="107" xfId="48" applyFont="1" applyFill="1" applyBorder="1"/>
    <xf numFmtId="0" fontId="9" fillId="14" borderId="110" xfId="48" applyFont="1" applyFill="1" applyBorder="1"/>
    <xf numFmtId="1" fontId="9" fillId="14" borderId="111" xfId="48" applyNumberFormat="1" applyFont="1" applyFill="1" applyBorder="1"/>
    <xf numFmtId="0" fontId="9" fillId="14" borderId="112" xfId="48" applyFont="1" applyFill="1" applyBorder="1"/>
    <xf numFmtId="0" fontId="9" fillId="0" borderId="113" xfId="48" applyFont="1" applyBorder="1"/>
    <xf numFmtId="3" fontId="16" fillId="0" borderId="114" xfId="48" applyNumberFormat="1" applyFont="1" applyBorder="1" applyAlignment="1">
      <alignment horizontal="right" vertical="top"/>
    </xf>
    <xf numFmtId="0" fontId="16" fillId="13" borderId="115" xfId="48" applyFont="1" applyFill="1" applyBorder="1" applyAlignment="1"/>
    <xf numFmtId="3" fontId="16" fillId="0" borderId="105" xfId="48" applyNumberFormat="1" applyFont="1" applyFill="1" applyBorder="1" applyAlignment="1"/>
    <xf numFmtId="3" fontId="16" fillId="14" borderId="95" xfId="48" applyNumberFormat="1" applyFont="1" applyFill="1" applyBorder="1" applyAlignment="1">
      <alignment horizontal="right" vertical="top"/>
    </xf>
    <xf numFmtId="0" fontId="16" fillId="13" borderId="89" xfId="48" applyFont="1" applyFill="1" applyBorder="1" applyAlignment="1"/>
    <xf numFmtId="3" fontId="16" fillId="13" borderId="90" xfId="48" applyNumberFormat="1" applyFont="1" applyFill="1" applyBorder="1" applyAlignment="1"/>
    <xf numFmtId="0" fontId="16" fillId="0" borderId="0" xfId="48" applyFont="1" applyAlignment="1">
      <alignment wrapText="1"/>
    </xf>
    <xf numFmtId="1" fontId="62" fillId="0" borderId="0" xfId="48" applyNumberFormat="1" applyFont="1" applyAlignment="1">
      <alignment horizontal="center"/>
    </xf>
    <xf numFmtId="0" fontId="16" fillId="13" borderId="116" xfId="48" applyFont="1" applyFill="1" applyBorder="1" applyAlignment="1">
      <alignment horizontal="center"/>
    </xf>
    <xf numFmtId="0" fontId="11" fillId="15" borderId="117" xfId="48" applyFont="1" applyFill="1" applyBorder="1" applyAlignment="1">
      <alignment horizontal="center"/>
    </xf>
    <xf numFmtId="0" fontId="11" fillId="15" borderId="118" xfId="48" applyFont="1" applyFill="1" applyBorder="1" applyAlignment="1">
      <alignment horizontal="center"/>
    </xf>
    <xf numFmtId="0" fontId="11" fillId="13" borderId="117" xfId="48" applyFont="1" applyFill="1" applyBorder="1" applyAlignment="1">
      <alignment horizontal="center"/>
    </xf>
    <xf numFmtId="0" fontId="11" fillId="16" borderId="117" xfId="48" applyFont="1" applyFill="1" applyBorder="1" applyAlignment="1">
      <alignment horizontal="center"/>
    </xf>
    <xf numFmtId="0" fontId="11" fillId="17" borderId="117" xfId="48" applyFont="1" applyFill="1" applyBorder="1" applyAlignment="1">
      <alignment horizontal="center"/>
    </xf>
    <xf numFmtId="0" fontId="11" fillId="17" borderId="118" xfId="48" applyFont="1" applyFill="1" applyBorder="1" applyAlignment="1">
      <alignment horizontal="center"/>
    </xf>
    <xf numFmtId="0" fontId="56" fillId="13" borderId="91" xfId="48" applyFont="1" applyFill="1" applyBorder="1" applyAlignment="1">
      <alignment horizontal="center"/>
    </xf>
    <xf numFmtId="0" fontId="11" fillId="15" borderId="119" xfId="48" applyFont="1" applyFill="1" applyBorder="1" applyAlignment="1">
      <alignment horizontal="center"/>
    </xf>
    <xf numFmtId="0" fontId="11" fillId="15" borderId="120" xfId="48" applyFont="1" applyFill="1" applyBorder="1" applyAlignment="1">
      <alignment horizontal="center"/>
    </xf>
    <xf numFmtId="0" fontId="11" fillId="13" borderId="119" xfId="48" applyFont="1" applyFill="1" applyBorder="1" applyAlignment="1">
      <alignment horizontal="center"/>
    </xf>
    <xf numFmtId="0" fontId="11" fillId="16" borderId="119" xfId="48" applyFont="1" applyFill="1" applyBorder="1" applyAlignment="1">
      <alignment horizontal="center"/>
    </xf>
    <xf numFmtId="1" fontId="11" fillId="17" borderId="119" xfId="48" applyNumberFormat="1" applyFont="1" applyFill="1" applyBorder="1" applyAlignment="1">
      <alignment horizontal="center"/>
    </xf>
    <xf numFmtId="0" fontId="11" fillId="17" borderId="120" xfId="48" applyFont="1" applyFill="1" applyBorder="1" applyAlignment="1">
      <alignment horizontal="center"/>
    </xf>
    <xf numFmtId="0" fontId="11" fillId="17" borderId="119" xfId="48" applyFont="1" applyFill="1" applyBorder="1" applyAlignment="1">
      <alignment horizontal="center"/>
    </xf>
    <xf numFmtId="0" fontId="11" fillId="13" borderId="91" xfId="48" applyFont="1" applyFill="1" applyBorder="1" applyAlignment="1">
      <alignment horizontal="center"/>
    </xf>
    <xf numFmtId="9" fontId="11" fillId="15" borderId="120" xfId="48" applyNumberFormat="1" applyFont="1" applyFill="1" applyBorder="1" applyAlignment="1">
      <alignment horizontal="center"/>
    </xf>
    <xf numFmtId="1" fontId="11" fillId="17" borderId="120" xfId="48" applyNumberFormat="1" applyFont="1" applyFill="1" applyBorder="1" applyAlignment="1">
      <alignment horizontal="center"/>
    </xf>
    <xf numFmtId="0" fontId="16" fillId="13" borderId="91" xfId="48" applyFont="1" applyFill="1" applyBorder="1" applyAlignment="1">
      <alignment horizontal="center"/>
    </xf>
    <xf numFmtId="1" fontId="11" fillId="15" borderId="121" xfId="48" applyNumberFormat="1" applyFont="1" applyFill="1" applyBorder="1" applyAlignment="1">
      <alignment horizontal="center"/>
    </xf>
    <xf numFmtId="1" fontId="11" fillId="15" borderId="120" xfId="48" applyNumberFormat="1" applyFont="1" applyFill="1" applyBorder="1" applyAlignment="1">
      <alignment horizontal="center"/>
    </xf>
    <xf numFmtId="1" fontId="11" fillId="15" borderId="17" xfId="48" applyNumberFormat="1" applyFont="1" applyFill="1" applyBorder="1" applyAlignment="1">
      <alignment horizontal="center"/>
    </xf>
    <xf numFmtId="0" fontId="11" fillId="13" borderId="121" xfId="48" applyFont="1" applyFill="1" applyBorder="1" applyAlignment="1">
      <alignment horizontal="center"/>
    </xf>
    <xf numFmtId="1" fontId="11" fillId="16" borderId="119" xfId="48" applyNumberFormat="1" applyFont="1" applyFill="1" applyBorder="1" applyAlignment="1">
      <alignment horizontal="center"/>
    </xf>
    <xf numFmtId="0" fontId="11" fillId="17" borderId="119" xfId="48" applyNumberFormat="1" applyFont="1" applyFill="1" applyBorder="1" applyAlignment="1">
      <alignment horizontal="center"/>
    </xf>
    <xf numFmtId="49" fontId="9" fillId="0" borderId="0" xfId="48" applyNumberFormat="1" applyFont="1"/>
    <xf numFmtId="0" fontId="16" fillId="13" borderId="98" xfId="48" applyFont="1" applyFill="1" applyBorder="1"/>
    <xf numFmtId="3" fontId="9" fillId="15" borderId="98" xfId="48" applyNumberFormat="1" applyFont="1" applyFill="1" applyBorder="1" applyAlignment="1"/>
    <xf numFmtId="3" fontId="57" fillId="15" borderId="98" xfId="48" applyNumberFormat="1" applyFont="1" applyFill="1" applyBorder="1" applyAlignment="1"/>
    <xf numFmtId="3" fontId="9" fillId="15" borderId="96" xfId="48" applyNumberFormat="1" applyFont="1" applyFill="1" applyBorder="1" applyAlignment="1"/>
    <xf numFmtId="3" fontId="9" fillId="15" borderId="128" xfId="48" applyNumberFormat="1" applyFont="1" applyFill="1" applyBorder="1" applyAlignment="1"/>
    <xf numFmtId="3" fontId="9" fillId="13" borderId="96" xfId="48" applyNumberFormat="1" applyFont="1" applyFill="1" applyBorder="1" applyAlignment="1"/>
    <xf numFmtId="3" fontId="9" fillId="13" borderId="97" xfId="48" applyNumberFormat="1" applyFont="1" applyFill="1" applyBorder="1" applyAlignment="1"/>
    <xf numFmtId="3" fontId="9" fillId="16" borderId="96" xfId="48" applyNumberFormat="1" applyFont="1" applyFill="1" applyBorder="1" applyAlignment="1"/>
    <xf numFmtId="3" fontId="9" fillId="0" borderId="96" xfId="48" applyNumberFormat="1" applyFont="1" applyFill="1" applyBorder="1" applyAlignment="1"/>
    <xf numFmtId="166" fontId="16" fillId="17" borderId="99" xfId="48" applyNumberFormat="1" applyFont="1" applyFill="1" applyBorder="1" applyAlignment="1"/>
    <xf numFmtId="3" fontId="9" fillId="0" borderId="96" xfId="48" applyNumberFormat="1" applyFont="1" applyBorder="1"/>
    <xf numFmtId="0" fontId="16" fillId="13" borderId="106" xfId="48" applyFont="1" applyFill="1" applyBorder="1"/>
    <xf numFmtId="3" fontId="9" fillId="15" borderId="106" xfId="48" applyNumberFormat="1" applyFont="1" applyFill="1" applyBorder="1" applyAlignment="1"/>
    <xf numFmtId="3" fontId="57" fillId="15" borderId="106" xfId="48" applyNumberFormat="1" applyFont="1" applyFill="1" applyBorder="1" applyAlignment="1"/>
    <xf numFmtId="3" fontId="9" fillId="15" borderId="102" xfId="48" applyNumberFormat="1" applyFont="1" applyFill="1" applyBorder="1" applyAlignment="1"/>
    <xf numFmtId="3" fontId="9" fillId="13" borderId="102" xfId="48" applyNumberFormat="1" applyFont="1" applyFill="1" applyBorder="1" applyAlignment="1"/>
    <xf numFmtId="3" fontId="9" fillId="13" borderId="103" xfId="48" applyNumberFormat="1" applyFont="1" applyFill="1" applyBorder="1" applyAlignment="1"/>
    <xf numFmtId="3" fontId="9" fillId="16" borderId="102" xfId="48" applyNumberFormat="1" applyFont="1" applyFill="1" applyBorder="1" applyAlignment="1"/>
    <xf numFmtId="3" fontId="9" fillId="0" borderId="102" xfId="48" applyNumberFormat="1" applyFont="1" applyFill="1" applyBorder="1" applyAlignment="1"/>
    <xf numFmtId="166" fontId="16" fillId="17" borderId="107" xfId="48" applyNumberFormat="1" applyFont="1" applyFill="1" applyBorder="1" applyAlignment="1"/>
    <xf numFmtId="3" fontId="9" fillId="0" borderId="102" xfId="48" applyNumberFormat="1" applyFont="1" applyBorder="1"/>
    <xf numFmtId="3" fontId="9" fillId="18" borderId="102" xfId="48" applyNumberFormat="1" applyFont="1" applyFill="1" applyBorder="1" applyAlignment="1"/>
    <xf numFmtId="3" fontId="9" fillId="0" borderId="0" xfId="48" applyNumberFormat="1" applyFont="1"/>
    <xf numFmtId="172" fontId="9" fillId="0" borderId="0" xfId="48" applyNumberFormat="1" applyFont="1"/>
    <xf numFmtId="0" fontId="9" fillId="18" borderId="102" xfId="48" applyFont="1" applyFill="1" applyBorder="1"/>
    <xf numFmtId="1" fontId="9" fillId="18" borderId="102" xfId="48" applyNumberFormat="1" applyFont="1" applyFill="1" applyBorder="1"/>
    <xf numFmtId="0" fontId="43" fillId="0" borderId="0" xfId="48" applyFont="1"/>
    <xf numFmtId="1" fontId="9" fillId="19" borderId="102" xfId="48" applyNumberFormat="1" applyFont="1" applyFill="1" applyBorder="1"/>
    <xf numFmtId="0" fontId="16" fillId="13" borderId="122" xfId="48" applyFont="1" applyFill="1" applyBorder="1"/>
    <xf numFmtId="3" fontId="64" fillId="15" borderId="122" xfId="48" applyNumberFormat="1" applyFont="1" applyFill="1" applyBorder="1" applyAlignment="1"/>
    <xf numFmtId="3" fontId="57" fillId="15" borderId="122" xfId="48" applyNumberFormat="1" applyFont="1" applyFill="1" applyBorder="1" applyAlignment="1"/>
    <xf numFmtId="3" fontId="9" fillId="15" borderId="123" xfId="48" applyNumberFormat="1" applyFont="1" applyFill="1" applyBorder="1" applyAlignment="1"/>
    <xf numFmtId="3" fontId="9" fillId="13" borderId="123" xfId="48" applyNumberFormat="1" applyFont="1" applyFill="1" applyBorder="1" applyAlignment="1"/>
    <xf numFmtId="3" fontId="9" fillId="13" borderId="124" xfId="48" applyNumberFormat="1" applyFont="1" applyFill="1" applyBorder="1" applyAlignment="1"/>
    <xf numFmtId="3" fontId="9" fillId="16" borderId="123" xfId="48" applyNumberFormat="1" applyFont="1" applyFill="1" applyBorder="1" applyAlignment="1"/>
    <xf numFmtId="3" fontId="9" fillId="0" borderId="123" xfId="48" applyNumberFormat="1" applyFont="1" applyFill="1" applyBorder="1" applyAlignment="1"/>
    <xf numFmtId="166" fontId="16" fillId="17" borderId="125" xfId="48" applyNumberFormat="1" applyFont="1" applyFill="1" applyBorder="1" applyAlignment="1"/>
    <xf numFmtId="3" fontId="9" fillId="0" borderId="104" xfId="48" applyNumberFormat="1" applyFont="1" applyBorder="1"/>
    <xf numFmtId="0" fontId="16" fillId="13" borderId="58" xfId="48" applyFont="1" applyFill="1" applyBorder="1"/>
    <xf numFmtId="3" fontId="16" fillId="15" borderId="58" xfId="48" applyNumberFormat="1" applyFont="1" applyFill="1" applyBorder="1" applyAlignment="1"/>
    <xf numFmtId="3" fontId="60" fillId="15" borderId="121" xfId="48" applyNumberFormat="1" applyFont="1" applyFill="1" applyBorder="1" applyAlignment="1"/>
    <xf numFmtId="3" fontId="16" fillId="15" borderId="17" xfId="48" applyNumberFormat="1" applyFont="1" applyFill="1" applyBorder="1" applyAlignment="1"/>
    <xf numFmtId="3" fontId="16" fillId="13" borderId="121" xfId="48" applyNumberFormat="1" applyFont="1" applyFill="1" applyBorder="1" applyAlignment="1"/>
    <xf numFmtId="3" fontId="16" fillId="16" borderId="121" xfId="48" applyNumberFormat="1" applyFont="1" applyFill="1" applyBorder="1" applyAlignment="1"/>
    <xf numFmtId="3" fontId="16" fillId="0" borderId="121" xfId="48" applyNumberFormat="1" applyFont="1" applyFill="1" applyBorder="1" applyAlignment="1"/>
    <xf numFmtId="166" fontId="16" fillId="17" borderId="126" xfId="48" applyNumberFormat="1" applyFont="1" applyFill="1" applyBorder="1" applyAlignment="1"/>
    <xf numFmtId="3" fontId="9" fillId="0" borderId="90" xfId="48" applyNumberFormat="1" applyFont="1" applyBorder="1"/>
    <xf numFmtId="3" fontId="10" fillId="0" borderId="0" xfId="48" applyNumberFormat="1" applyFont="1"/>
    <xf numFmtId="0" fontId="9" fillId="0" borderId="0" xfId="48" applyFont="1" applyBorder="1"/>
    <xf numFmtId="3" fontId="9" fillId="0" borderId="0" xfId="48" applyNumberFormat="1" applyFont="1" applyBorder="1"/>
    <xf numFmtId="0" fontId="9" fillId="0" borderId="0" xfId="48" applyFont="1" applyBorder="1" applyAlignment="1">
      <alignment horizontal="left" vertical="top"/>
    </xf>
    <xf numFmtId="0" fontId="16" fillId="0" borderId="0" xfId="48" applyFont="1" applyFill="1" applyBorder="1"/>
    <xf numFmtId="0" fontId="56" fillId="0" borderId="0" xfId="48" applyFont="1" applyBorder="1" applyAlignment="1">
      <alignment horizontal="center" vertical="center"/>
    </xf>
    <xf numFmtId="0" fontId="11" fillId="14" borderId="117" xfId="48" applyFont="1" applyFill="1" applyBorder="1" applyAlignment="1">
      <alignment horizontal="center"/>
    </xf>
    <xf numFmtId="0" fontId="11" fillId="14" borderId="118" xfId="48" applyFont="1" applyFill="1" applyBorder="1" applyAlignment="1">
      <alignment horizontal="center"/>
    </xf>
    <xf numFmtId="0" fontId="11" fillId="14" borderId="119" xfId="48" applyFont="1" applyFill="1" applyBorder="1" applyAlignment="1">
      <alignment horizontal="center"/>
    </xf>
    <xf numFmtId="0" fontId="11" fillId="14" borderId="120" xfId="48" applyFont="1" applyFill="1" applyBorder="1" applyAlignment="1">
      <alignment horizontal="center"/>
    </xf>
    <xf numFmtId="3" fontId="9" fillId="0" borderId="0" xfId="48" applyNumberFormat="1" applyFont="1" applyBorder="1" applyAlignment="1">
      <alignment horizontal="right"/>
    </xf>
    <xf numFmtId="3" fontId="9" fillId="0" borderId="0" xfId="48" applyNumberFormat="1" applyFont="1" applyBorder="1" applyAlignment="1">
      <alignment horizontal="right" vertical="top"/>
    </xf>
    <xf numFmtId="166" fontId="9" fillId="0" borderId="0" xfId="48" applyNumberFormat="1" applyFont="1" applyBorder="1" applyAlignment="1">
      <alignment horizontal="center" vertical="top"/>
    </xf>
    <xf numFmtId="1" fontId="11" fillId="14" borderId="121" xfId="48" applyNumberFormat="1" applyFont="1" applyFill="1" applyBorder="1" applyAlignment="1">
      <alignment horizontal="center"/>
    </xf>
    <xf numFmtId="1" fontId="11" fillId="14" borderId="120" xfId="48" applyNumberFormat="1" applyFont="1" applyFill="1" applyBorder="1" applyAlignment="1">
      <alignment horizontal="center"/>
    </xf>
    <xf numFmtId="0" fontId="16" fillId="14" borderId="98" xfId="48" applyFont="1" applyFill="1" applyBorder="1"/>
    <xf numFmtId="168" fontId="9" fillId="0" borderId="96" xfId="48" applyNumberFormat="1" applyFont="1" applyBorder="1" applyAlignment="1">
      <alignment horizontal="right"/>
    </xf>
    <xf numFmtId="3" fontId="9" fillId="0" borderId="96" xfId="48" applyNumberFormat="1" applyFont="1" applyBorder="1" applyAlignment="1">
      <alignment horizontal="right"/>
    </xf>
    <xf numFmtId="165" fontId="9" fillId="0" borderId="96" xfId="48" applyNumberFormat="1" applyFont="1" applyBorder="1" applyAlignment="1">
      <alignment horizontal="right"/>
    </xf>
    <xf numFmtId="165" fontId="9" fillId="21" borderId="96" xfId="48" applyNumberFormat="1" applyFont="1" applyFill="1" applyBorder="1" applyAlignment="1">
      <alignment horizontal="right"/>
    </xf>
    <xf numFmtId="0" fontId="16" fillId="14" borderId="106" xfId="48" applyFont="1" applyFill="1" applyBorder="1"/>
    <xf numFmtId="168" fontId="9" fillId="0" borderId="102" xfId="48" applyNumberFormat="1" applyFont="1" applyBorder="1" applyAlignment="1">
      <alignment horizontal="right"/>
    </xf>
    <xf numFmtId="3" fontId="9" fillId="0" borderId="102" xfId="48" applyNumberFormat="1" applyFont="1" applyBorder="1" applyAlignment="1">
      <alignment horizontal="right"/>
    </xf>
    <xf numFmtId="165" fontId="9" fillId="0" borderId="102" xfId="48" applyNumberFormat="1" applyFont="1" applyBorder="1" applyAlignment="1">
      <alignment horizontal="right"/>
    </xf>
    <xf numFmtId="165" fontId="9" fillId="21" borderId="102" xfId="48" applyNumberFormat="1" applyFont="1" applyFill="1" applyBorder="1" applyAlignment="1">
      <alignment horizontal="right"/>
    </xf>
    <xf numFmtId="3" fontId="9" fillId="0" borderId="0" xfId="48" applyNumberFormat="1" applyFont="1" applyBorder="1" applyAlignment="1">
      <alignment horizontal="left" vertical="top"/>
    </xf>
    <xf numFmtId="0" fontId="16" fillId="14" borderId="110" xfId="48" applyFont="1" applyFill="1" applyBorder="1"/>
    <xf numFmtId="168" fontId="9" fillId="0" borderId="115" xfId="48" applyNumberFormat="1" applyFont="1" applyBorder="1" applyAlignment="1">
      <alignment horizontal="right"/>
    </xf>
    <xf numFmtId="3" fontId="9" fillId="0" borderId="127" xfId="48" applyNumberFormat="1" applyFont="1" applyBorder="1" applyAlignment="1">
      <alignment horizontal="right"/>
    </xf>
    <xf numFmtId="165" fontId="9" fillId="0" borderId="127" xfId="48" applyNumberFormat="1" applyFont="1" applyBorder="1" applyAlignment="1">
      <alignment horizontal="right"/>
    </xf>
    <xf numFmtId="165" fontId="9" fillId="21" borderId="127" xfId="48" applyNumberFormat="1" applyFont="1" applyFill="1" applyBorder="1" applyAlignment="1">
      <alignment horizontal="right"/>
    </xf>
    <xf numFmtId="0" fontId="9" fillId="0" borderId="0" xfId="48" applyFont="1" applyBorder="1" applyAlignment="1"/>
    <xf numFmtId="0" fontId="16" fillId="14" borderId="58" xfId="48" applyFont="1" applyFill="1" applyBorder="1"/>
    <xf numFmtId="168" fontId="16" fillId="14" borderId="58" xfId="48" applyNumberFormat="1" applyFont="1" applyFill="1" applyBorder="1" applyAlignment="1">
      <alignment horizontal="right"/>
    </xf>
    <xf numFmtId="3" fontId="16" fillId="14" borderId="90" xfId="48" applyNumberFormat="1" applyFont="1" applyFill="1" applyBorder="1" applyAlignment="1">
      <alignment horizontal="right"/>
    </xf>
    <xf numFmtId="3" fontId="16" fillId="21" borderId="90" xfId="48" applyNumberFormat="1" applyFont="1" applyFill="1" applyBorder="1" applyAlignment="1">
      <alignment horizontal="right"/>
    </xf>
    <xf numFmtId="0" fontId="9" fillId="0" borderId="0" xfId="48" applyFont="1" applyBorder="1" applyAlignment="1">
      <alignment horizontal="center"/>
    </xf>
    <xf numFmtId="2" fontId="9" fillId="0" borderId="0" xfId="48" applyNumberFormat="1" applyFont="1" applyBorder="1"/>
    <xf numFmtId="166" fontId="9" fillId="0" borderId="0" xfId="48" applyNumberFormat="1" applyFont="1" applyBorder="1"/>
    <xf numFmtId="0" fontId="9" fillId="0" borderId="0" xfId="48" applyFont="1" applyAlignment="1">
      <alignment horizontal="center"/>
    </xf>
    <xf numFmtId="2" fontId="9" fillId="0" borderId="0" xfId="48" applyNumberFormat="1" applyFont="1"/>
    <xf numFmtId="166" fontId="9" fillId="0" borderId="0" xfId="48" applyNumberFormat="1" applyFont="1"/>
    <xf numFmtId="0" fontId="10" fillId="0" borderId="0" xfId="48" applyFont="1" applyAlignment="1"/>
    <xf numFmtId="0" fontId="10" fillId="0" borderId="0" xfId="48" applyFont="1" applyAlignment="1">
      <alignment horizontal="center" wrapText="1"/>
    </xf>
    <xf numFmtId="10" fontId="10" fillId="0" borderId="0" xfId="48" applyNumberFormat="1" applyFont="1" applyAlignment="1"/>
    <xf numFmtId="0" fontId="10" fillId="0" borderId="0" xfId="48" applyFont="1" applyAlignment="1">
      <alignment horizontal="center"/>
    </xf>
    <xf numFmtId="0" fontId="11" fillId="0" borderId="0" xfId="48" applyFont="1" applyAlignment="1">
      <alignment horizontal="center" wrapText="1"/>
    </xf>
    <xf numFmtId="10" fontId="11" fillId="0" borderId="0" xfId="48" applyNumberFormat="1" applyFont="1" applyAlignment="1"/>
    <xf numFmtId="0" fontId="16" fillId="0" borderId="0" xfId="48" applyFont="1" applyAlignment="1">
      <alignment horizontal="center"/>
    </xf>
    <xf numFmtId="6" fontId="39" fillId="6" borderId="9" xfId="44" applyNumberFormat="1" applyFont="1" applyFill="1" applyBorder="1" applyAlignment="1">
      <alignment vertical="center"/>
    </xf>
    <xf numFmtId="167" fontId="39" fillId="6" borderId="9" xfId="44" applyNumberFormat="1" applyFont="1" applyFill="1" applyBorder="1"/>
    <xf numFmtId="167" fontId="75" fillId="0" borderId="9" xfId="44" applyNumberFormat="1" applyFont="1" applyBorder="1"/>
    <xf numFmtId="1" fontId="58" fillId="0" borderId="0" xfId="49" applyNumberFormat="1" applyFont="1"/>
    <xf numFmtId="1" fontId="58" fillId="0" borderId="0" xfId="49" applyNumberFormat="1" applyFont="1" applyAlignment="1">
      <alignment horizontal="right"/>
    </xf>
    <xf numFmtId="1" fontId="16" fillId="0" borderId="0" xfId="49" applyNumberFormat="1" applyFont="1"/>
    <xf numFmtId="1" fontId="9" fillId="0" borderId="0" xfId="49" applyNumberFormat="1" applyFont="1"/>
    <xf numFmtId="0" fontId="9" fillId="0" borderId="0" xfId="49" applyFont="1"/>
    <xf numFmtId="1" fontId="58" fillId="0" borderId="0" xfId="49" applyNumberFormat="1" applyFont="1" applyAlignment="1">
      <alignment horizontal="left"/>
    </xf>
    <xf numFmtId="0" fontId="16" fillId="0" borderId="0" xfId="49" applyFont="1"/>
    <xf numFmtId="0" fontId="16" fillId="13" borderId="89" xfId="49" applyFont="1" applyFill="1" applyBorder="1" applyAlignment="1">
      <alignment horizontal="center"/>
    </xf>
    <xf numFmtId="1" fontId="16" fillId="13" borderId="90" xfId="49" applyNumberFormat="1" applyFont="1" applyFill="1" applyBorder="1" applyAlignment="1">
      <alignment horizontal="right"/>
    </xf>
    <xf numFmtId="1" fontId="16" fillId="0" borderId="91" xfId="49" applyNumberFormat="1" applyFont="1" applyBorder="1" applyAlignment="1">
      <alignment horizontal="right"/>
    </xf>
    <xf numFmtId="0" fontId="16" fillId="13" borderId="90" xfId="49" applyFont="1" applyFill="1" applyBorder="1"/>
    <xf numFmtId="0" fontId="16" fillId="13" borderId="92" xfId="49" applyFont="1" applyFill="1" applyBorder="1" applyAlignment="1">
      <alignment horizontal="right"/>
    </xf>
    <xf numFmtId="168" fontId="9" fillId="0" borderId="0" xfId="49" applyNumberFormat="1" applyFont="1"/>
    <xf numFmtId="0" fontId="16" fillId="14" borderId="89" xfId="49" applyFont="1" applyFill="1" applyBorder="1" applyAlignment="1">
      <alignment horizontal="left" vertical="top"/>
    </xf>
    <xf numFmtId="0" fontId="16" fillId="14" borderId="93" xfId="49" applyFont="1" applyFill="1" applyBorder="1" applyAlignment="1">
      <alignment horizontal="left" vertical="top"/>
    </xf>
    <xf numFmtId="0" fontId="16" fillId="14" borderId="92" xfId="49" applyFont="1" applyFill="1" applyBorder="1" applyAlignment="1">
      <alignment horizontal="left" vertical="top"/>
    </xf>
    <xf numFmtId="0" fontId="16" fillId="14" borderId="94" xfId="49" applyFont="1" applyFill="1" applyBorder="1" applyAlignment="1">
      <alignment horizontal="right" vertical="top"/>
    </xf>
    <xf numFmtId="0" fontId="16" fillId="14" borderId="95" xfId="49" applyFont="1" applyFill="1" applyBorder="1" applyAlignment="1">
      <alignment horizontal="right" vertical="top"/>
    </xf>
    <xf numFmtId="0" fontId="9" fillId="0" borderId="0" xfId="49" applyFont="1" applyAlignment="1">
      <alignment horizontal="left" vertical="top"/>
    </xf>
    <xf numFmtId="0" fontId="16" fillId="13" borderId="96" xfId="49" applyFont="1" applyFill="1" applyBorder="1"/>
    <xf numFmtId="3" fontId="16" fillId="0" borderId="97" xfId="49" applyNumberFormat="1" applyFont="1" applyBorder="1"/>
    <xf numFmtId="3" fontId="16" fillId="0" borderId="91" xfId="49" applyNumberFormat="1" applyFont="1" applyBorder="1"/>
    <xf numFmtId="0" fontId="16" fillId="13" borderId="96" xfId="49" applyFont="1" applyFill="1" applyBorder="1" applyAlignment="1">
      <alignment horizontal="left"/>
    </xf>
    <xf numFmtId="3" fontId="9" fillId="0" borderId="97" xfId="49" applyNumberFormat="1" applyFont="1" applyBorder="1"/>
    <xf numFmtId="168" fontId="9" fillId="0" borderId="96" xfId="49" applyNumberFormat="1" applyFont="1" applyBorder="1"/>
    <xf numFmtId="9" fontId="9" fillId="0" borderId="0" xfId="49" applyNumberFormat="1" applyFont="1" applyAlignment="1">
      <alignment horizontal="center"/>
    </xf>
    <xf numFmtId="0" fontId="9" fillId="14" borderId="98" xfId="49" applyFont="1" applyFill="1" applyBorder="1"/>
    <xf numFmtId="1" fontId="9" fillId="14" borderId="99" xfId="49" applyNumberFormat="1" applyFont="1" applyFill="1" applyBorder="1"/>
    <xf numFmtId="0" fontId="9" fillId="14" borderId="97" xfId="49" applyFont="1" applyFill="1" applyBorder="1"/>
    <xf numFmtId="0" fontId="9" fillId="0" borderId="100" xfId="49" applyFont="1" applyBorder="1"/>
    <xf numFmtId="3" fontId="16" fillId="0" borderId="101" xfId="49" applyNumberFormat="1" applyFont="1" applyBorder="1" applyAlignment="1">
      <alignment horizontal="right" vertical="top"/>
    </xf>
    <xf numFmtId="0" fontId="16" fillId="13" borderId="102" xfId="49" applyFont="1" applyFill="1" applyBorder="1"/>
    <xf numFmtId="3" fontId="16" fillId="0" borderId="103" xfId="49" applyNumberFormat="1" applyFont="1" applyBorder="1"/>
    <xf numFmtId="0" fontId="16" fillId="13" borderId="104" xfId="49" applyFont="1" applyFill="1" applyBorder="1" applyAlignment="1">
      <alignment horizontal="left"/>
    </xf>
    <xf numFmtId="3" fontId="9" fillId="0" borderId="105" xfId="49" applyNumberFormat="1" applyFont="1" applyBorder="1"/>
    <xf numFmtId="168" fontId="9" fillId="0" borderId="115" xfId="49" applyNumberFormat="1" applyFont="1" applyBorder="1"/>
    <xf numFmtId="0" fontId="9" fillId="14" borderId="106" xfId="49" applyFont="1" applyFill="1" applyBorder="1"/>
    <xf numFmtId="1" fontId="9" fillId="14" borderId="107" xfId="49" applyNumberFormat="1" applyFont="1" applyFill="1" applyBorder="1"/>
    <xf numFmtId="0" fontId="9" fillId="14" borderId="103" xfId="49" applyFont="1" applyFill="1" applyBorder="1"/>
    <xf numFmtId="0" fontId="9" fillId="0" borderId="108" xfId="49" applyFont="1" applyBorder="1"/>
    <xf numFmtId="3" fontId="16" fillId="0" borderId="109" xfId="49" applyNumberFormat="1" applyFont="1" applyBorder="1" applyAlignment="1">
      <alignment horizontal="right" vertical="top"/>
    </xf>
    <xf numFmtId="0" fontId="60" fillId="13" borderId="102" xfId="49" applyFont="1" applyFill="1" applyBorder="1"/>
    <xf numFmtId="3" fontId="60" fillId="0" borderId="103" xfId="49" applyNumberFormat="1" applyFont="1" applyBorder="1"/>
    <xf numFmtId="0" fontId="16" fillId="13" borderId="90" xfId="49" applyFont="1" applyFill="1" applyBorder="1" applyAlignment="1">
      <alignment horizontal="left" vertical="center"/>
    </xf>
    <xf numFmtId="3" fontId="16" fillId="13" borderId="92" xfId="49" applyNumberFormat="1" applyFont="1" applyFill="1" applyBorder="1"/>
    <xf numFmtId="168" fontId="16" fillId="13" borderId="92" xfId="49" applyNumberFormat="1" applyFont="1" applyFill="1" applyBorder="1"/>
    <xf numFmtId="10" fontId="9" fillId="0" borderId="0" xfId="49" applyNumberFormat="1" applyFont="1"/>
    <xf numFmtId="9" fontId="9" fillId="0" borderId="0" xfId="49" applyNumberFormat="1" applyFont="1"/>
    <xf numFmtId="3" fontId="60" fillId="0" borderId="107" xfId="49" applyNumberFormat="1" applyFont="1" applyBorder="1"/>
    <xf numFmtId="1" fontId="9" fillId="0" borderId="23" xfId="49" applyNumberFormat="1" applyFont="1" applyBorder="1"/>
    <xf numFmtId="0" fontId="60" fillId="13" borderId="119" xfId="49" applyFont="1" applyFill="1" applyBorder="1"/>
    <xf numFmtId="0" fontId="9" fillId="0" borderId="0" xfId="49" applyFont="1" applyAlignment="1">
      <alignment horizontal="right"/>
    </xf>
    <xf numFmtId="0" fontId="16" fillId="14" borderId="107" xfId="49" applyFont="1" applyFill="1" applyBorder="1"/>
    <xf numFmtId="3" fontId="16" fillId="0" borderId="0" xfId="49" applyNumberFormat="1" applyFont="1"/>
    <xf numFmtId="0" fontId="9" fillId="14" borderId="110" xfId="49" applyFont="1" applyFill="1" applyBorder="1"/>
    <xf numFmtId="1" fontId="9" fillId="14" borderId="111" xfId="49" applyNumberFormat="1" applyFont="1" applyFill="1" applyBorder="1"/>
    <xf numFmtId="0" fontId="9" fillId="14" borderId="112" xfId="49" applyFont="1" applyFill="1" applyBorder="1"/>
    <xf numFmtId="0" fontId="9" fillId="0" borderId="113" xfId="49" applyFont="1" applyBorder="1"/>
    <xf numFmtId="3" fontId="16" fillId="0" borderId="114" xfId="49" applyNumberFormat="1" applyFont="1" applyBorder="1" applyAlignment="1">
      <alignment horizontal="right" vertical="top"/>
    </xf>
    <xf numFmtId="0" fontId="16" fillId="13" borderId="115" xfId="49" applyFont="1" applyFill="1" applyBorder="1"/>
    <xf numFmtId="3" fontId="16" fillId="0" borderId="105" xfId="49" applyNumberFormat="1" applyFont="1" applyBorder="1"/>
    <xf numFmtId="3" fontId="16" fillId="14" borderId="95" xfId="49" applyNumberFormat="1" applyFont="1" applyFill="1" applyBorder="1" applyAlignment="1">
      <alignment horizontal="right" vertical="top"/>
    </xf>
    <xf numFmtId="0" fontId="16" fillId="13" borderId="89" xfId="49" applyFont="1" applyFill="1" applyBorder="1"/>
    <xf numFmtId="3" fontId="16" fillId="13" borderId="90" xfId="49" applyNumberFormat="1" applyFont="1" applyFill="1" applyBorder="1"/>
    <xf numFmtId="0" fontId="16" fillId="0" borderId="0" xfId="49" applyFont="1" applyAlignment="1">
      <alignment wrapText="1"/>
    </xf>
    <xf numFmtId="1" fontId="62" fillId="0" borderId="0" xfId="49" applyNumberFormat="1" applyFont="1" applyAlignment="1">
      <alignment horizontal="center"/>
    </xf>
    <xf numFmtId="0" fontId="16" fillId="13" borderId="116" xfId="49" applyFont="1" applyFill="1" applyBorder="1" applyAlignment="1">
      <alignment horizontal="center"/>
    </xf>
    <xf numFmtId="0" fontId="11" fillId="15" borderId="117" xfId="49" applyFont="1" applyFill="1" applyBorder="1" applyAlignment="1">
      <alignment horizontal="center"/>
    </xf>
    <xf numFmtId="0" fontId="11" fillId="15" borderId="118" xfId="49" applyFont="1" applyFill="1" applyBorder="1" applyAlignment="1">
      <alignment horizontal="center"/>
    </xf>
    <xf numFmtId="0" fontId="11" fillId="13" borderId="117" xfId="49" applyFont="1" applyFill="1" applyBorder="1" applyAlignment="1">
      <alignment horizontal="center"/>
    </xf>
    <xf numFmtId="0" fontId="11" fillId="16" borderId="117" xfId="49" applyFont="1" applyFill="1" applyBorder="1" applyAlignment="1">
      <alignment horizontal="center"/>
    </xf>
    <xf numFmtId="0" fontId="11" fillId="17" borderId="117" xfId="49" applyFont="1" applyFill="1" applyBorder="1" applyAlignment="1">
      <alignment horizontal="center"/>
    </xf>
    <xf numFmtId="0" fontId="11" fillId="17" borderId="118" xfId="49" applyFont="1" applyFill="1" applyBorder="1" applyAlignment="1">
      <alignment horizontal="center"/>
    </xf>
    <xf numFmtId="0" fontId="56" fillId="13" borderId="91" xfId="49" applyFont="1" applyFill="1" applyBorder="1" applyAlignment="1">
      <alignment horizontal="center"/>
    </xf>
    <xf numFmtId="0" fontId="11" fillId="15" borderId="119" xfId="49" applyFont="1" applyFill="1" applyBorder="1" applyAlignment="1">
      <alignment horizontal="center"/>
    </xf>
    <xf numFmtId="0" fontId="11" fillId="15" borderId="120" xfId="49" applyFont="1" applyFill="1" applyBorder="1" applyAlignment="1">
      <alignment horizontal="center"/>
    </xf>
    <xf numFmtId="0" fontId="11" fillId="13" borderId="119" xfId="49" applyFont="1" applyFill="1" applyBorder="1" applyAlignment="1">
      <alignment horizontal="center"/>
    </xf>
    <xf numFmtId="0" fontId="11" fillId="16" borderId="119" xfId="49" applyFont="1" applyFill="1" applyBorder="1" applyAlignment="1">
      <alignment horizontal="center"/>
    </xf>
    <xf numFmtId="1" fontId="11" fillId="17" borderId="119" xfId="49" applyNumberFormat="1" applyFont="1" applyFill="1" applyBorder="1" applyAlignment="1">
      <alignment horizontal="center"/>
    </xf>
    <xf numFmtId="0" fontId="11" fillId="17" borderId="120" xfId="49" applyFont="1" applyFill="1" applyBorder="1" applyAlignment="1">
      <alignment horizontal="center"/>
    </xf>
    <xf numFmtId="0" fontId="11" fillId="17" borderId="119" xfId="49" applyFont="1" applyFill="1" applyBorder="1" applyAlignment="1">
      <alignment horizontal="center"/>
    </xf>
    <xf numFmtId="0" fontId="11" fillId="13" borderId="91" xfId="49" applyFont="1" applyFill="1" applyBorder="1" applyAlignment="1">
      <alignment horizontal="center"/>
    </xf>
    <xf numFmtId="9" fontId="11" fillId="15" borderId="120" xfId="49" applyNumberFormat="1" applyFont="1" applyFill="1" applyBorder="1" applyAlignment="1">
      <alignment horizontal="center"/>
    </xf>
    <xf numFmtId="1" fontId="11" fillId="17" borderId="120" xfId="49" applyNumberFormat="1" applyFont="1" applyFill="1" applyBorder="1" applyAlignment="1">
      <alignment horizontal="center"/>
    </xf>
    <xf numFmtId="0" fontId="16" fillId="13" borderId="91" xfId="49" applyFont="1" applyFill="1" applyBorder="1" applyAlignment="1">
      <alignment horizontal="center"/>
    </xf>
    <xf numFmtId="1" fontId="11" fillId="15" borderId="121" xfId="49" applyNumberFormat="1" applyFont="1" applyFill="1" applyBorder="1" applyAlignment="1">
      <alignment horizontal="center"/>
    </xf>
    <xf numFmtId="1" fontId="11" fillId="15" borderId="120" xfId="49" applyNumberFormat="1" applyFont="1" applyFill="1" applyBorder="1" applyAlignment="1">
      <alignment horizontal="center"/>
    </xf>
    <xf numFmtId="1" fontId="11" fillId="15" borderId="17" xfId="49" applyNumberFormat="1" applyFont="1" applyFill="1" applyBorder="1" applyAlignment="1">
      <alignment horizontal="center"/>
    </xf>
    <xf numFmtId="0" fontId="11" fillId="13" borderId="121" xfId="49" applyFont="1" applyFill="1" applyBorder="1" applyAlignment="1">
      <alignment horizontal="center"/>
    </xf>
    <xf numFmtId="1" fontId="11" fillId="16" borderId="119" xfId="49" applyNumberFormat="1" applyFont="1" applyFill="1" applyBorder="1" applyAlignment="1">
      <alignment horizontal="center"/>
    </xf>
    <xf numFmtId="49" fontId="9" fillId="0" borderId="0" xfId="49" applyNumberFormat="1" applyFont="1"/>
    <xf numFmtId="0" fontId="16" fillId="13" borderId="98" xfId="49" applyFont="1" applyFill="1" applyBorder="1"/>
    <xf numFmtId="3" fontId="9" fillId="15" borderId="98" xfId="49" applyNumberFormat="1" applyFont="1" applyFill="1" applyBorder="1"/>
    <xf numFmtId="3" fontId="57" fillId="15" borderId="98" xfId="49" applyNumberFormat="1" applyFont="1" applyFill="1" applyBorder="1"/>
    <xf numFmtId="3" fontId="9" fillId="15" borderId="96" xfId="49" applyNumberFormat="1" applyFont="1" applyFill="1" applyBorder="1"/>
    <xf numFmtId="3" fontId="9" fillId="15" borderId="128" xfId="49" applyNumberFormat="1" applyFont="1" applyFill="1" applyBorder="1"/>
    <xf numFmtId="3" fontId="9" fillId="13" borderId="96" xfId="49" applyNumberFormat="1" applyFont="1" applyFill="1" applyBorder="1"/>
    <xf numFmtId="3" fontId="9" fillId="13" borderId="97" xfId="49" applyNumberFormat="1" applyFont="1" applyFill="1" applyBorder="1"/>
    <xf numFmtId="3" fontId="9" fillId="16" borderId="96" xfId="49" applyNumberFormat="1" applyFont="1" applyFill="1" applyBorder="1"/>
    <xf numFmtId="3" fontId="9" fillId="0" borderId="96" xfId="49" applyNumberFormat="1" applyFont="1" applyBorder="1"/>
    <xf numFmtId="166" fontId="16" fillId="17" borderId="99" xfId="49" applyNumberFormat="1" applyFont="1" applyFill="1" applyBorder="1"/>
    <xf numFmtId="0" fontId="16" fillId="13" borderId="106" xfId="49" applyFont="1" applyFill="1" applyBorder="1"/>
    <xf numFmtId="3" fontId="9" fillId="15" borderId="106" xfId="49" applyNumberFormat="1" applyFont="1" applyFill="1" applyBorder="1"/>
    <xf numFmtId="3" fontId="57" fillId="15" borderId="106" xfId="49" applyNumberFormat="1" applyFont="1" applyFill="1" applyBorder="1"/>
    <xf numFmtId="3" fontId="9" fillId="15" borderId="102" xfId="49" applyNumberFormat="1" applyFont="1" applyFill="1" applyBorder="1"/>
    <xf numFmtId="3" fontId="9" fillId="13" borderId="102" xfId="49" applyNumberFormat="1" applyFont="1" applyFill="1" applyBorder="1"/>
    <xf numFmtId="3" fontId="9" fillId="13" borderId="103" xfId="49" applyNumberFormat="1" applyFont="1" applyFill="1" applyBorder="1"/>
    <xf numFmtId="3" fontId="9" fillId="16" borderId="102" xfId="49" applyNumberFormat="1" applyFont="1" applyFill="1" applyBorder="1"/>
    <xf numFmtId="3" fontId="9" fillId="0" borderId="102" xfId="49" applyNumberFormat="1" applyFont="1" applyBorder="1"/>
    <xf numFmtId="166" fontId="16" fillId="17" borderId="107" xfId="49" applyNumberFormat="1" applyFont="1" applyFill="1" applyBorder="1"/>
    <xf numFmtId="3" fontId="9" fillId="18" borderId="102" xfId="49" applyNumberFormat="1" applyFont="1" applyFill="1" applyBorder="1"/>
    <xf numFmtId="3" fontId="9" fillId="0" borderId="0" xfId="49" applyNumberFormat="1" applyFont="1"/>
    <xf numFmtId="172" fontId="9" fillId="0" borderId="0" xfId="49" applyNumberFormat="1" applyFont="1"/>
    <xf numFmtId="0" fontId="9" fillId="18" borderId="102" xfId="49" applyFont="1" applyFill="1" applyBorder="1"/>
    <xf numFmtId="1" fontId="9" fillId="18" borderId="102" xfId="49" applyNumberFormat="1" applyFont="1" applyFill="1" applyBorder="1"/>
    <xf numFmtId="0" fontId="43" fillId="0" borderId="0" xfId="49" applyFont="1"/>
    <xf numFmtId="3" fontId="9" fillId="13" borderId="102" xfId="49" quotePrefix="1" applyNumberFormat="1" applyFont="1" applyFill="1" applyBorder="1"/>
    <xf numFmtId="1" fontId="9" fillId="19" borderId="102" xfId="49" applyNumberFormat="1" applyFont="1" applyFill="1" applyBorder="1"/>
    <xf numFmtId="0" fontId="16" fillId="13" borderId="122" xfId="49" applyFont="1" applyFill="1" applyBorder="1"/>
    <xf numFmtId="3" fontId="64" fillId="15" borderId="122" xfId="49" applyNumberFormat="1" applyFont="1" applyFill="1" applyBorder="1"/>
    <xf numFmtId="3" fontId="57" fillId="15" borderId="122" xfId="49" applyNumberFormat="1" applyFont="1" applyFill="1" applyBorder="1"/>
    <xf numFmtId="3" fontId="9" fillId="15" borderId="123" xfId="49" applyNumberFormat="1" applyFont="1" applyFill="1" applyBorder="1"/>
    <xf numFmtId="3" fontId="9" fillId="13" borderId="123" xfId="49" applyNumberFormat="1" applyFont="1" applyFill="1" applyBorder="1"/>
    <xf numFmtId="3" fontId="9" fillId="13" borderId="124" xfId="49" applyNumberFormat="1" applyFont="1" applyFill="1" applyBorder="1"/>
    <xf numFmtId="3" fontId="9" fillId="16" borderId="123" xfId="49" applyNumberFormat="1" applyFont="1" applyFill="1" applyBorder="1"/>
    <xf numFmtId="3" fontId="9" fillId="0" borderId="123" xfId="49" applyNumberFormat="1" applyFont="1" applyBorder="1"/>
    <xf numFmtId="166" fontId="16" fillId="17" borderId="125" xfId="49" applyNumberFormat="1" applyFont="1" applyFill="1" applyBorder="1"/>
    <xf numFmtId="3" fontId="9" fillId="0" borderId="104" xfId="49" applyNumberFormat="1" applyFont="1" applyBorder="1"/>
    <xf numFmtId="0" fontId="16" fillId="13" borderId="58" xfId="49" applyFont="1" applyFill="1" applyBorder="1"/>
    <xf numFmtId="3" fontId="16" fillId="15" borderId="58" xfId="49" applyNumberFormat="1" applyFont="1" applyFill="1" applyBorder="1"/>
    <xf numFmtId="3" fontId="60" fillId="15" borderId="121" xfId="49" applyNumberFormat="1" applyFont="1" applyFill="1" applyBorder="1"/>
    <xf numFmtId="3" fontId="16" fillId="15" borderId="17" xfId="49" applyNumberFormat="1" applyFont="1" applyFill="1" applyBorder="1"/>
    <xf numFmtId="3" fontId="16" fillId="13" borderId="121" xfId="49" applyNumberFormat="1" applyFont="1" applyFill="1" applyBorder="1"/>
    <xf numFmtId="3" fontId="16" fillId="16" borderId="121" xfId="49" applyNumberFormat="1" applyFont="1" applyFill="1" applyBorder="1"/>
    <xf numFmtId="3" fontId="16" fillId="0" borderId="121" xfId="49" applyNumberFormat="1" applyFont="1" applyBorder="1"/>
    <xf numFmtId="166" fontId="16" fillId="17" borderId="126" xfId="49" applyNumberFormat="1" applyFont="1" applyFill="1" applyBorder="1"/>
    <xf numFmtId="3" fontId="9" fillId="0" borderId="90" xfId="49" applyNumberFormat="1" applyFont="1" applyBorder="1"/>
    <xf numFmtId="3" fontId="10" fillId="0" borderId="0" xfId="49" applyNumberFormat="1" applyFont="1"/>
    <xf numFmtId="0" fontId="56" fillId="0" borderId="0" xfId="49" applyFont="1" applyAlignment="1">
      <alignment horizontal="center" vertical="center"/>
    </xf>
    <xf numFmtId="0" fontId="11" fillId="14" borderId="117" xfId="49" applyFont="1" applyFill="1" applyBorder="1" applyAlignment="1">
      <alignment horizontal="center"/>
    </xf>
    <xf numFmtId="0" fontId="11" fillId="14" borderId="118" xfId="49" applyFont="1" applyFill="1" applyBorder="1" applyAlignment="1">
      <alignment horizontal="center"/>
    </xf>
    <xf numFmtId="0" fontId="11" fillId="0" borderId="0" xfId="49" applyFont="1" applyAlignment="1">
      <alignment horizontal="center" vertical="center" wrapText="1"/>
    </xf>
    <xf numFmtId="0" fontId="11" fillId="14" borderId="119" xfId="49" applyFont="1" applyFill="1" applyBorder="1" applyAlignment="1">
      <alignment horizontal="center"/>
    </xf>
    <xf numFmtId="0" fontId="11" fillId="14" borderId="120" xfId="49" applyFont="1" applyFill="1" applyBorder="1" applyAlignment="1">
      <alignment horizontal="center"/>
    </xf>
    <xf numFmtId="3" fontId="9" fillId="0" borderId="0" xfId="49" applyNumberFormat="1" applyFont="1" applyAlignment="1">
      <alignment horizontal="right"/>
    </xf>
    <xf numFmtId="3" fontId="9" fillId="0" borderId="0" xfId="49" applyNumberFormat="1" applyFont="1" applyAlignment="1">
      <alignment horizontal="right" vertical="top"/>
    </xf>
    <xf numFmtId="166" fontId="9" fillId="0" borderId="0" xfId="49" applyNumberFormat="1" applyFont="1" applyAlignment="1">
      <alignment horizontal="center" vertical="top"/>
    </xf>
    <xf numFmtId="1" fontId="11" fillId="14" borderId="121" xfId="49" applyNumberFormat="1" applyFont="1" applyFill="1" applyBorder="1" applyAlignment="1">
      <alignment horizontal="center"/>
    </xf>
    <xf numFmtId="1" fontId="11" fillId="14" borderId="120" xfId="49" applyNumberFormat="1" applyFont="1" applyFill="1" applyBorder="1" applyAlignment="1">
      <alignment horizontal="center"/>
    </xf>
    <xf numFmtId="0" fontId="16" fillId="14" borderId="98" xfId="49" applyFont="1" applyFill="1" applyBorder="1"/>
    <xf numFmtId="168" fontId="9" fillId="0" borderId="96" xfId="49" applyNumberFormat="1" applyFont="1" applyBorder="1" applyAlignment="1">
      <alignment horizontal="right"/>
    </xf>
    <xf numFmtId="3" fontId="9" fillId="0" borderId="96" xfId="49" applyNumberFormat="1" applyFont="1" applyBorder="1" applyAlignment="1">
      <alignment horizontal="right"/>
    </xf>
    <xf numFmtId="165" fontId="9" fillId="0" borderId="96" xfId="49" applyNumberFormat="1" applyFont="1" applyBorder="1" applyAlignment="1">
      <alignment horizontal="right"/>
    </xf>
    <xf numFmtId="165" fontId="9" fillId="21" borderId="96" xfId="49" applyNumberFormat="1" applyFont="1" applyFill="1" applyBorder="1" applyAlignment="1">
      <alignment horizontal="right"/>
    </xf>
    <xf numFmtId="165" fontId="9" fillId="0" borderId="0" xfId="49" applyNumberFormat="1" applyFont="1" applyAlignment="1">
      <alignment horizontal="right"/>
    </xf>
    <xf numFmtId="0" fontId="16" fillId="14" borderId="106" xfId="49" applyFont="1" applyFill="1" applyBorder="1"/>
    <xf numFmtId="168" fontId="9" fillId="0" borderId="102" xfId="49" applyNumberFormat="1" applyFont="1" applyBorder="1" applyAlignment="1">
      <alignment horizontal="right"/>
    </xf>
    <xf numFmtId="3" fontId="9" fillId="0" borderId="102" xfId="49" applyNumberFormat="1" applyFont="1" applyBorder="1" applyAlignment="1">
      <alignment horizontal="right"/>
    </xf>
    <xf numFmtId="165" fontId="9" fillId="0" borderId="102" xfId="49" applyNumberFormat="1" applyFont="1" applyBorder="1" applyAlignment="1">
      <alignment horizontal="right"/>
    </xf>
    <xf numFmtId="165" fontId="9" fillId="21" borderId="102" xfId="49" applyNumberFormat="1" applyFont="1" applyFill="1" applyBorder="1" applyAlignment="1">
      <alignment horizontal="right"/>
    </xf>
    <xf numFmtId="3" fontId="9" fillId="0" borderId="0" xfId="49" applyNumberFormat="1" applyFont="1" applyAlignment="1">
      <alignment horizontal="left" vertical="top"/>
    </xf>
    <xf numFmtId="0" fontId="16" fillId="14" borderId="110" xfId="49" applyFont="1" applyFill="1" applyBorder="1"/>
    <xf numFmtId="168" fontId="9" fillId="0" borderId="115" xfId="49" applyNumberFormat="1" applyFont="1" applyBorder="1" applyAlignment="1">
      <alignment horizontal="right"/>
    </xf>
    <xf numFmtId="3" fontId="9" fillId="0" borderId="127" xfId="49" applyNumberFormat="1" applyFont="1" applyBorder="1" applyAlignment="1">
      <alignment horizontal="right"/>
    </xf>
    <xf numFmtId="165" fontId="9" fillId="0" borderId="127" xfId="49" applyNumberFormat="1" applyFont="1" applyBorder="1" applyAlignment="1">
      <alignment horizontal="right"/>
    </xf>
    <xf numFmtId="165" fontId="9" fillId="21" borderId="127" xfId="49" applyNumberFormat="1" applyFont="1" applyFill="1" applyBorder="1" applyAlignment="1">
      <alignment horizontal="right"/>
    </xf>
    <xf numFmtId="0" fontId="16" fillId="14" borderId="58" xfId="49" applyFont="1" applyFill="1" applyBorder="1"/>
    <xf numFmtId="168" fontId="16" fillId="14" borderId="58" xfId="49" applyNumberFormat="1" applyFont="1" applyFill="1" applyBorder="1" applyAlignment="1">
      <alignment horizontal="right"/>
    </xf>
    <xf numFmtId="3" fontId="16" fillId="14" borderId="90" xfId="49" applyNumberFormat="1" applyFont="1" applyFill="1" applyBorder="1" applyAlignment="1">
      <alignment horizontal="right"/>
    </xf>
    <xf numFmtId="3" fontId="16" fillId="21" borderId="90" xfId="49" applyNumberFormat="1" applyFont="1" applyFill="1" applyBorder="1" applyAlignment="1">
      <alignment horizontal="right"/>
    </xf>
    <xf numFmtId="3" fontId="16" fillId="0" borderId="0" xfId="49" applyNumberFormat="1" applyFont="1" applyAlignment="1">
      <alignment horizontal="right"/>
    </xf>
    <xf numFmtId="0" fontId="9" fillId="0" borderId="0" xfId="49" applyFont="1" applyAlignment="1">
      <alignment horizontal="center"/>
    </xf>
    <xf numFmtId="2" fontId="9" fillId="0" borderId="0" xfId="49" applyNumberFormat="1" applyFont="1"/>
    <xf numFmtId="166" fontId="9" fillId="0" borderId="0" xfId="49" applyNumberFormat="1" applyFont="1"/>
    <xf numFmtId="0" fontId="10" fillId="0" borderId="0" xfId="49" applyFont="1"/>
    <xf numFmtId="0" fontId="10" fillId="0" borderId="0" xfId="49" applyFont="1" applyAlignment="1">
      <alignment horizontal="center" wrapText="1"/>
    </xf>
    <xf numFmtId="10" fontId="10" fillId="0" borderId="0" xfId="49" applyNumberFormat="1" applyFont="1"/>
    <xf numFmtId="0" fontId="10" fillId="0" borderId="0" xfId="49" applyFont="1" applyAlignment="1">
      <alignment horizontal="center"/>
    </xf>
    <xf numFmtId="0" fontId="11" fillId="0" borderId="0" xfId="49" applyFont="1" applyAlignment="1">
      <alignment horizontal="center" wrapText="1"/>
    </xf>
    <xf numFmtId="10" fontId="11" fillId="0" borderId="0" xfId="49" applyNumberFormat="1" applyFont="1"/>
    <xf numFmtId="0" fontId="16" fillId="0" borderId="0" xfId="49" applyFont="1" applyAlignment="1">
      <alignment horizontal="center"/>
    </xf>
    <xf numFmtId="167" fontId="10" fillId="2" borderId="55" xfId="0" applyNumberFormat="1" applyFont="1" applyFill="1" applyBorder="1" applyAlignment="1">
      <alignment vertical="center" wrapText="1"/>
    </xf>
    <xf numFmtId="167" fontId="10" fillId="2" borderId="13" xfId="0" applyNumberFormat="1" applyFont="1" applyFill="1" applyBorder="1" applyAlignment="1">
      <alignment vertical="center" wrapText="1"/>
    </xf>
    <xf numFmtId="0" fontId="11"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23" fillId="4" borderId="0" xfId="0" applyFont="1" applyFill="1" applyAlignment="1" applyProtection="1">
      <alignment horizontal="left"/>
      <protection hidden="1"/>
    </xf>
    <xf numFmtId="0" fontId="23" fillId="4" borderId="0" xfId="0" applyFont="1" applyFill="1" applyProtection="1">
      <protection hidden="1"/>
    </xf>
    <xf numFmtId="167" fontId="22" fillId="4" borderId="0" xfId="0" applyNumberFormat="1" applyFont="1" applyFill="1" applyAlignment="1" applyProtection="1">
      <alignment horizontal="center"/>
      <protection hidden="1"/>
    </xf>
    <xf numFmtId="166" fontId="11" fillId="5" borderId="3" xfId="0" applyNumberFormat="1" applyFont="1" applyFill="1" applyBorder="1" applyAlignment="1" applyProtection="1">
      <alignment horizontal="center"/>
      <protection hidden="1"/>
    </xf>
    <xf numFmtId="167" fontId="11" fillId="4" borderId="3" xfId="0" applyNumberFormat="1" applyFont="1" applyFill="1" applyBorder="1" applyProtection="1">
      <protection hidden="1"/>
    </xf>
    <xf numFmtId="167" fontId="10" fillId="0" borderId="40" xfId="0" applyNumberFormat="1" applyFont="1" applyBorder="1" applyProtection="1">
      <protection hidden="1"/>
    </xf>
    <xf numFmtId="167" fontId="10" fillId="0" borderId="129" xfId="0" applyNumberFormat="1" applyFont="1" applyBorder="1" applyProtection="1">
      <protection hidden="1"/>
    </xf>
    <xf numFmtId="167" fontId="10" fillId="0" borderId="44" xfId="0" applyNumberFormat="1" applyFont="1" applyBorder="1" applyProtection="1">
      <protection hidden="1"/>
    </xf>
    <xf numFmtId="167" fontId="10" fillId="0" borderId="29" xfId="0" applyNumberFormat="1" applyFont="1" applyBorder="1" applyProtection="1">
      <protection hidden="1"/>
    </xf>
    <xf numFmtId="0" fontId="10" fillId="4" borderId="0" xfId="0" applyFont="1" applyFill="1" applyAlignment="1">
      <alignment horizontal="left"/>
    </xf>
    <xf numFmtId="0" fontId="10" fillId="4" borderId="0" xfId="0" applyFont="1" applyFill="1" applyBorder="1"/>
    <xf numFmtId="14" fontId="10" fillId="0" borderId="0" xfId="0" applyNumberFormat="1" applyFont="1" applyFill="1"/>
    <xf numFmtId="0" fontId="11" fillId="0" borderId="0" xfId="0" applyFont="1" applyFill="1"/>
    <xf numFmtId="0" fontId="11" fillId="0" borderId="0" xfId="0" applyFont="1" applyFill="1"/>
    <xf numFmtId="0" fontId="11" fillId="0" borderId="0" xfId="0" applyFont="1" applyFill="1"/>
    <xf numFmtId="0" fontId="10" fillId="0" borderId="0" xfId="0" applyFont="1" applyFill="1"/>
    <xf numFmtId="0" fontId="10" fillId="0" borderId="0" xfId="0" applyFont="1" applyFill="1"/>
    <xf numFmtId="0" fontId="10" fillId="0" borderId="0" xfId="0" applyFont="1" applyFill="1"/>
    <xf numFmtId="0" fontId="10" fillId="2" borderId="9" xfId="0" applyFont="1" applyFill="1" applyBorder="1"/>
    <xf numFmtId="3" fontId="10" fillId="3" borderId="9" xfId="0" applyNumberFormat="1" applyFont="1" applyFill="1" applyBorder="1"/>
    <xf numFmtId="3" fontId="13" fillId="0" borderId="9" xfId="0" applyNumberFormat="1" applyFont="1" applyFill="1" applyBorder="1"/>
    <xf numFmtId="171" fontId="10" fillId="0" borderId="0" xfId="0" applyNumberFormat="1" applyFont="1" applyAlignment="1">
      <alignment horizontal="right"/>
    </xf>
    <xf numFmtId="171" fontId="13" fillId="0" borderId="0" xfId="0" applyNumberFormat="1" applyFont="1" applyFill="1"/>
    <xf numFmtId="0" fontId="10" fillId="2" borderId="3" xfId="0" applyFont="1" applyFill="1" applyBorder="1" applyAlignment="1" applyProtection="1">
      <alignment horizontal="center"/>
      <protection hidden="1"/>
    </xf>
    <xf numFmtId="0" fontId="10" fillId="2" borderId="9" xfId="0" applyFont="1" applyFill="1" applyBorder="1" applyAlignment="1" applyProtection="1">
      <alignment horizontal="center"/>
      <protection hidden="1"/>
    </xf>
    <xf numFmtId="0" fontId="13" fillId="0" borderId="0" xfId="0" applyFont="1" applyFill="1"/>
    <xf numFmtId="0" fontId="10" fillId="0" borderId="0" xfId="0" applyFont="1"/>
    <xf numFmtId="0" fontId="10" fillId="0" borderId="0" xfId="0" applyFont="1" applyFill="1" applyBorder="1" applyAlignment="1">
      <alignment horizontal="right"/>
    </xf>
    <xf numFmtId="0" fontId="13" fillId="0" borderId="0" xfId="0" applyFont="1" applyAlignment="1">
      <alignment horizontal="right"/>
    </xf>
    <xf numFmtId="0" fontId="0" fillId="0" borderId="0" xfId="0" applyFill="1"/>
    <xf numFmtId="169" fontId="10" fillId="0" borderId="0" xfId="0" applyNumberFormat="1" applyFont="1" applyAlignment="1">
      <alignment horizontal="center"/>
    </xf>
    <xf numFmtId="0" fontId="37" fillId="0" borderId="0" xfId="0" applyFont="1" applyFill="1" applyProtection="1">
      <protection hidden="1"/>
    </xf>
    <xf numFmtId="0" fontId="35" fillId="0" borderId="0" xfId="0" applyFont="1" applyFill="1" applyAlignment="1">
      <alignment horizontal="left" vertical="center" wrapText="1"/>
    </xf>
    <xf numFmtId="0" fontId="31" fillId="2" borderId="46" xfId="0" applyFont="1" applyFill="1" applyBorder="1" applyAlignment="1">
      <alignment horizontal="left" vertical="center"/>
    </xf>
    <xf numFmtId="0" fontId="31" fillId="2" borderId="27" xfId="0" applyFont="1" applyFill="1" applyBorder="1" applyAlignment="1">
      <alignment horizontal="left" vertical="center"/>
    </xf>
    <xf numFmtId="0" fontId="10" fillId="0" borderId="0" xfId="0" applyFont="1" applyFill="1" applyAlignment="1">
      <alignment horizontal="left" vertical="center" wrapText="1"/>
    </xf>
    <xf numFmtId="0" fontId="11" fillId="2" borderId="18" xfId="0" applyFont="1" applyFill="1" applyBorder="1" applyAlignment="1" applyProtection="1">
      <alignment horizontal="center" vertical="center"/>
      <protection hidden="1"/>
    </xf>
    <xf numFmtId="0" fontId="11" fillId="2" borderId="10" xfId="0" applyFont="1" applyFill="1" applyBorder="1" applyAlignment="1" applyProtection="1">
      <alignment horizontal="center" vertical="center"/>
      <protection hidden="1"/>
    </xf>
    <xf numFmtId="0" fontId="11" fillId="2" borderId="47" xfId="0" applyFont="1" applyFill="1" applyBorder="1" applyAlignment="1" applyProtection="1">
      <alignment horizontal="center" vertical="center"/>
      <protection hidden="1"/>
    </xf>
    <xf numFmtId="0" fontId="11" fillId="2" borderId="26" xfId="0" applyFont="1" applyFill="1" applyBorder="1" applyAlignment="1" applyProtection="1">
      <alignment horizontal="center" vertical="center"/>
      <protection hidden="1"/>
    </xf>
    <xf numFmtId="0" fontId="10" fillId="4" borderId="73" xfId="0" applyFont="1" applyFill="1" applyBorder="1" applyAlignment="1">
      <alignment horizontal="center" vertical="center" wrapText="1"/>
    </xf>
    <xf numFmtId="0" fontId="10" fillId="4" borderId="48"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12" borderId="46" xfId="0" applyFont="1" applyFill="1" applyBorder="1" applyAlignment="1">
      <alignment horizontal="center" vertical="center" wrapText="1"/>
    </xf>
    <xf numFmtId="0" fontId="10" fillId="12" borderId="48"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10" fillId="11" borderId="46" xfId="0" applyFont="1" applyFill="1" applyBorder="1" applyAlignment="1">
      <alignment horizontal="center" vertical="center" wrapText="1"/>
    </xf>
    <xf numFmtId="0" fontId="10" fillId="11" borderId="48" xfId="0" applyFont="1" applyFill="1" applyBorder="1" applyAlignment="1">
      <alignment horizontal="center" vertical="center" wrapText="1"/>
    </xf>
    <xf numFmtId="0" fontId="10" fillId="11" borderId="27" xfId="0" applyFont="1" applyFill="1" applyBorder="1" applyAlignment="1">
      <alignment horizontal="center" vertical="center" wrapText="1"/>
    </xf>
    <xf numFmtId="0" fontId="10" fillId="2" borderId="18" xfId="0" applyFont="1" applyFill="1" applyBorder="1" applyAlignment="1">
      <alignment horizontal="center"/>
    </xf>
    <xf numFmtId="0" fontId="10" fillId="2" borderId="33" xfId="0" applyFont="1" applyFill="1" applyBorder="1" applyAlignment="1">
      <alignment horizontal="center"/>
    </xf>
    <xf numFmtId="0" fontId="10" fillId="2" borderId="47" xfId="0" applyFont="1" applyFill="1" applyBorder="1" applyAlignment="1">
      <alignment horizontal="center"/>
    </xf>
    <xf numFmtId="0" fontId="10" fillId="2" borderId="19" xfId="0" applyFont="1" applyFill="1" applyBorder="1" applyAlignment="1">
      <alignment horizontal="center"/>
    </xf>
    <xf numFmtId="0" fontId="10" fillId="2" borderId="57" xfId="0" applyFont="1" applyFill="1" applyBorder="1" applyAlignment="1">
      <alignment horizontal="center"/>
    </xf>
    <xf numFmtId="0" fontId="10" fillId="2" borderId="21" xfId="0" applyFont="1" applyFill="1" applyBorder="1" applyAlignment="1">
      <alignment horizontal="center"/>
    </xf>
    <xf numFmtId="0" fontId="11" fillId="2" borderId="9" xfId="0" applyFont="1" applyFill="1" applyBorder="1" applyAlignment="1" applyProtection="1">
      <alignment horizontal="center" vertical="center"/>
      <protection hidden="1"/>
    </xf>
    <xf numFmtId="0" fontId="11" fillId="2" borderId="13" xfId="0" applyFont="1" applyFill="1" applyBorder="1" applyAlignment="1" applyProtection="1">
      <alignment horizontal="center" vertical="center"/>
      <protection hidden="1"/>
    </xf>
    <xf numFmtId="0" fontId="11" fillId="2" borderId="38" xfId="0" applyFont="1" applyFill="1" applyBorder="1" applyAlignment="1" applyProtection="1">
      <alignment horizontal="center" vertical="center"/>
      <protection hidden="1"/>
    </xf>
    <xf numFmtId="0" fontId="11" fillId="2" borderId="24" xfId="0" applyFont="1" applyFill="1" applyBorder="1" applyAlignment="1" applyProtection="1">
      <alignment horizontal="center" vertical="center"/>
      <protection hidden="1"/>
    </xf>
    <xf numFmtId="0" fontId="11" fillId="2" borderId="8" xfId="0" applyFont="1" applyFill="1" applyBorder="1" applyAlignment="1" applyProtection="1">
      <alignment horizontal="center" vertical="center"/>
      <protection hidden="1"/>
    </xf>
    <xf numFmtId="0" fontId="16" fillId="2" borderId="38" xfId="0" applyFont="1" applyFill="1" applyBorder="1" applyAlignment="1" applyProtection="1">
      <alignment horizontal="center" vertical="center"/>
      <protection hidden="1"/>
    </xf>
    <xf numFmtId="0" fontId="16" fillId="2" borderId="24" xfId="0" applyFont="1" applyFill="1" applyBorder="1" applyAlignment="1" applyProtection="1">
      <alignment horizontal="center" vertical="center"/>
      <protection hidden="1"/>
    </xf>
    <xf numFmtId="0" fontId="16" fillId="2" borderId="8" xfId="0" applyFont="1" applyFill="1" applyBorder="1" applyAlignment="1" applyProtection="1">
      <alignment horizontal="center" vertical="center"/>
      <protection hidden="1"/>
    </xf>
    <xf numFmtId="0" fontId="11" fillId="4" borderId="9" xfId="0" applyFont="1" applyFill="1" applyBorder="1" applyAlignment="1" applyProtection="1">
      <alignment horizontal="center" wrapText="1"/>
      <protection hidden="1"/>
    </xf>
    <xf numFmtId="0" fontId="11" fillId="4" borderId="13" xfId="0" applyFont="1" applyFill="1" applyBorder="1" applyAlignment="1" applyProtection="1">
      <alignment horizontal="center" wrapText="1"/>
      <protection hidden="1"/>
    </xf>
    <xf numFmtId="0" fontId="11" fillId="4" borderId="9" xfId="0" applyFont="1" applyFill="1" applyBorder="1" applyAlignment="1" applyProtection="1">
      <alignment horizontal="center" vertical="center" wrapText="1"/>
      <protection hidden="1"/>
    </xf>
    <xf numFmtId="0" fontId="11" fillId="4" borderId="13" xfId="0" applyFont="1" applyFill="1" applyBorder="1" applyAlignment="1" applyProtection="1">
      <alignment horizontal="center" vertical="center" wrapText="1"/>
      <protection hidden="1"/>
    </xf>
    <xf numFmtId="0" fontId="10" fillId="8" borderId="9" xfId="0" applyFont="1" applyFill="1" applyBorder="1" applyAlignment="1" applyProtection="1">
      <alignment horizontal="center"/>
      <protection hidden="1"/>
    </xf>
    <xf numFmtId="0" fontId="23" fillId="2" borderId="9" xfId="0" applyFont="1" applyFill="1" applyBorder="1" applyAlignment="1" applyProtection="1">
      <alignment horizontal="center" vertical="center"/>
      <protection hidden="1"/>
    </xf>
    <xf numFmtId="0" fontId="23" fillId="2" borderId="13" xfId="0" applyFont="1" applyFill="1" applyBorder="1" applyAlignment="1" applyProtection="1">
      <alignment horizontal="center" vertical="center"/>
      <protection hidden="1"/>
    </xf>
    <xf numFmtId="0" fontId="23" fillId="8" borderId="55" xfId="0" applyFont="1" applyFill="1" applyBorder="1" applyAlignment="1" applyProtection="1">
      <alignment horizontal="center" vertical="center" wrapText="1"/>
      <protection hidden="1"/>
    </xf>
    <xf numFmtId="0" fontId="23" fillId="8" borderId="29" xfId="0" applyFont="1" applyFill="1" applyBorder="1" applyAlignment="1" applyProtection="1">
      <alignment horizontal="center" vertical="center" wrapText="1"/>
      <protection hidden="1"/>
    </xf>
    <xf numFmtId="0" fontId="23" fillId="8" borderId="46" xfId="0" applyFont="1" applyFill="1" applyBorder="1" applyAlignment="1" applyProtection="1">
      <alignment horizontal="center" vertical="center" wrapText="1"/>
      <protection hidden="1"/>
    </xf>
    <xf numFmtId="0" fontId="23" fillId="8" borderId="27" xfId="0" applyFont="1" applyFill="1" applyBorder="1" applyAlignment="1" applyProtection="1">
      <alignment horizontal="center" vertical="center" wrapText="1"/>
      <protection hidden="1"/>
    </xf>
    <xf numFmtId="0" fontId="23" fillId="2" borderId="38" xfId="0" applyFont="1" applyFill="1" applyBorder="1" applyAlignment="1" applyProtection="1">
      <alignment horizontal="center" vertical="center"/>
      <protection hidden="1"/>
    </xf>
    <xf numFmtId="0" fontId="23" fillId="2" borderId="26" xfId="0" applyFont="1" applyFill="1" applyBorder="1" applyAlignment="1" applyProtection="1">
      <alignment horizontal="center" vertical="center"/>
      <protection hidden="1"/>
    </xf>
    <xf numFmtId="0" fontId="23" fillId="5" borderId="25" xfId="0" applyFont="1" applyFill="1" applyBorder="1" applyAlignment="1" applyProtection="1">
      <alignment horizontal="center" vertical="center" wrapText="1"/>
      <protection hidden="1"/>
    </xf>
    <xf numFmtId="0" fontId="23" fillId="5" borderId="30" xfId="0" applyFont="1" applyFill="1" applyBorder="1" applyAlignment="1" applyProtection="1">
      <alignment horizontal="center" vertical="center" wrapText="1"/>
      <protection hidden="1"/>
    </xf>
    <xf numFmtId="0" fontId="23" fillId="8" borderId="71" xfId="0" applyFont="1" applyFill="1" applyBorder="1" applyAlignment="1" applyProtection="1">
      <alignment horizontal="center" vertical="center" wrapText="1"/>
      <protection hidden="1"/>
    </xf>
    <xf numFmtId="0" fontId="23" fillId="8" borderId="45" xfId="0" applyFont="1" applyFill="1" applyBorder="1" applyAlignment="1" applyProtection="1">
      <alignment horizontal="center" vertical="center" wrapText="1"/>
      <protection hidden="1"/>
    </xf>
    <xf numFmtId="0" fontId="23" fillId="5" borderId="71" xfId="0" applyFont="1" applyFill="1" applyBorder="1" applyAlignment="1" applyProtection="1">
      <alignment horizontal="center" vertical="center" wrapText="1"/>
      <protection hidden="1"/>
    </xf>
    <xf numFmtId="0" fontId="23" fillId="5" borderId="45" xfId="0" applyFont="1" applyFill="1" applyBorder="1" applyAlignment="1" applyProtection="1">
      <alignment horizontal="center" vertical="center" wrapText="1"/>
      <protection hidden="1"/>
    </xf>
    <xf numFmtId="0" fontId="23" fillId="5" borderId="46" xfId="0" applyFont="1" applyFill="1" applyBorder="1" applyAlignment="1" applyProtection="1">
      <alignment horizontal="center" vertical="center" wrapText="1"/>
      <protection hidden="1"/>
    </xf>
    <xf numFmtId="0" fontId="23" fillId="5" borderId="27" xfId="0" applyFont="1" applyFill="1" applyBorder="1" applyAlignment="1" applyProtection="1">
      <alignment horizontal="center" vertical="center" wrapText="1"/>
      <protection hidden="1"/>
    </xf>
    <xf numFmtId="0" fontId="11" fillId="2" borderId="38"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52" xfId="0" applyFont="1" applyFill="1" applyBorder="1" applyAlignment="1">
      <alignment horizontal="center" vertical="center" wrapText="1"/>
    </xf>
    <xf numFmtId="0" fontId="11" fillId="2" borderId="49" xfId="0" applyFont="1" applyFill="1" applyBorder="1" applyAlignment="1">
      <alignment horizontal="center" vertical="center" wrapText="1"/>
    </xf>
    <xf numFmtId="167" fontId="11" fillId="0" borderId="55" xfId="44" applyNumberFormat="1" applyFont="1" applyFill="1" applyBorder="1" applyAlignment="1">
      <alignment horizontal="center"/>
    </xf>
    <xf numFmtId="167" fontId="11" fillId="0" borderId="54" xfId="44" applyNumberFormat="1" applyFont="1" applyFill="1" applyBorder="1" applyAlignment="1">
      <alignment horizontal="center"/>
    </xf>
    <xf numFmtId="0" fontId="10" fillId="6" borderId="9" xfId="44" applyFont="1" applyFill="1" applyBorder="1" applyAlignment="1">
      <alignment horizontal="center" vertical="center"/>
    </xf>
    <xf numFmtId="0" fontId="29" fillId="6" borderId="9" xfId="44" applyFont="1" applyFill="1" applyBorder="1" applyAlignment="1">
      <alignment horizontal="center" vertical="center"/>
    </xf>
    <xf numFmtId="3" fontId="41" fillId="6" borderId="54" xfId="44" applyNumberFormat="1" applyFont="1" applyFill="1" applyBorder="1" applyAlignment="1">
      <alignment horizontal="center" vertical="center" wrapText="1"/>
    </xf>
    <xf numFmtId="3" fontId="41" fillId="6" borderId="55" xfId="44" applyNumberFormat="1" applyFont="1" applyFill="1" applyBorder="1" applyAlignment="1">
      <alignment horizontal="center" vertical="center" wrapText="1"/>
    </xf>
    <xf numFmtId="3" fontId="41" fillId="6" borderId="42" xfId="44" applyNumberFormat="1" applyFont="1" applyFill="1" applyBorder="1" applyAlignment="1">
      <alignment horizontal="center" vertical="center" wrapText="1"/>
    </xf>
    <xf numFmtId="3" fontId="41" fillId="6" borderId="44" xfId="44" applyNumberFormat="1" applyFont="1" applyFill="1" applyBorder="1" applyAlignment="1">
      <alignment horizontal="center" vertical="center" wrapText="1"/>
    </xf>
    <xf numFmtId="3" fontId="41" fillId="6" borderId="43" xfId="44" applyNumberFormat="1" applyFont="1" applyFill="1" applyBorder="1" applyAlignment="1">
      <alignment horizontal="center" vertical="center" wrapText="1"/>
    </xf>
    <xf numFmtId="3" fontId="41" fillId="6" borderId="2" xfId="44" applyNumberFormat="1" applyFont="1" applyFill="1" applyBorder="1" applyAlignment="1">
      <alignment horizontal="center" vertical="center" wrapText="1"/>
    </xf>
    <xf numFmtId="167" fontId="39" fillId="5" borderId="38" xfId="44" applyNumberFormat="1" applyFont="1" applyFill="1" applyBorder="1" applyAlignment="1">
      <alignment horizontal="center"/>
    </xf>
    <xf numFmtId="167" fontId="39" fillId="5" borderId="8" xfId="44" applyNumberFormat="1" applyFont="1" applyFill="1" applyBorder="1" applyAlignment="1">
      <alignment horizontal="center"/>
    </xf>
    <xf numFmtId="0" fontId="11" fillId="6" borderId="9" xfId="44" applyFont="1" applyFill="1" applyBorder="1" applyAlignment="1">
      <alignment horizontal="center" vertical="center" wrapText="1"/>
    </xf>
    <xf numFmtId="0" fontId="11" fillId="9" borderId="9" xfId="44" applyFont="1" applyFill="1" applyBorder="1" applyAlignment="1">
      <alignment horizontal="center" vertical="center"/>
    </xf>
    <xf numFmtId="0" fontId="39" fillId="9" borderId="9" xfId="44" applyFont="1" applyFill="1" applyBorder="1" applyAlignment="1">
      <alignment horizontal="center" vertical="center"/>
    </xf>
    <xf numFmtId="0" fontId="11" fillId="9" borderId="9" xfId="44" applyFont="1" applyFill="1" applyBorder="1" applyAlignment="1">
      <alignment horizontal="center" vertical="center" wrapText="1"/>
    </xf>
    <xf numFmtId="0" fontId="11" fillId="6" borderId="9" xfId="44" applyFont="1" applyFill="1" applyBorder="1" applyAlignment="1">
      <alignment horizontal="center" vertical="center"/>
    </xf>
    <xf numFmtId="0" fontId="10" fillId="0" borderId="0" xfId="49" applyFont="1" applyAlignment="1">
      <alignment horizontal="center" vertical="center" wrapText="1"/>
    </xf>
    <xf numFmtId="0" fontId="56" fillId="0" borderId="0" xfId="49" applyFont="1" applyAlignment="1">
      <alignment horizontal="center" vertical="center"/>
    </xf>
    <xf numFmtId="0" fontId="11" fillId="14" borderId="117" xfId="49" applyFont="1" applyFill="1" applyBorder="1" applyAlignment="1">
      <alignment horizontal="center" vertical="center" wrapText="1"/>
    </xf>
    <xf numFmtId="0" fontId="11" fillId="14" borderId="119" xfId="49" applyFont="1" applyFill="1" applyBorder="1" applyAlignment="1">
      <alignment horizontal="center" vertical="center" wrapText="1"/>
    </xf>
    <xf numFmtId="0" fontId="11" fillId="14" borderId="121" xfId="49" applyFont="1" applyFill="1" applyBorder="1" applyAlignment="1">
      <alignment horizontal="center" vertical="center" wrapText="1"/>
    </xf>
    <xf numFmtId="0" fontId="11" fillId="21" borderId="117" xfId="49" applyFont="1" applyFill="1" applyBorder="1" applyAlignment="1">
      <alignment horizontal="center" vertical="center" wrapText="1"/>
    </xf>
    <xf numFmtId="0" fontId="11" fillId="21" borderId="119" xfId="49" applyFont="1" applyFill="1" applyBorder="1" applyAlignment="1">
      <alignment horizontal="center" vertical="center" wrapText="1"/>
    </xf>
    <xf numFmtId="0" fontId="11" fillId="21" borderId="121" xfId="49" applyFont="1" applyFill="1" applyBorder="1" applyAlignment="1">
      <alignment horizontal="center" vertical="center" wrapText="1"/>
    </xf>
    <xf numFmtId="0" fontId="10" fillId="0" borderId="0" xfId="48" applyFont="1" applyBorder="1" applyAlignment="1">
      <alignment horizontal="center" vertical="center" wrapText="1"/>
    </xf>
    <xf numFmtId="0" fontId="56" fillId="0" borderId="0" xfId="48" applyFont="1" applyBorder="1" applyAlignment="1">
      <alignment horizontal="center" vertical="center"/>
    </xf>
    <xf numFmtId="0" fontId="11" fillId="14" borderId="117" xfId="48" applyFont="1" applyFill="1" applyBorder="1" applyAlignment="1">
      <alignment horizontal="center" vertical="center" wrapText="1"/>
    </xf>
    <xf numFmtId="0" fontId="11" fillId="14" borderId="119" xfId="48" applyFont="1" applyFill="1" applyBorder="1" applyAlignment="1">
      <alignment horizontal="center" vertical="center" wrapText="1"/>
    </xf>
    <xf numFmtId="0" fontId="11" fillId="14" borderId="121" xfId="48" applyFont="1" applyFill="1" applyBorder="1" applyAlignment="1">
      <alignment horizontal="center" vertical="center" wrapText="1"/>
    </xf>
    <xf numFmtId="0" fontId="11" fillId="21" borderId="117" xfId="48" applyFont="1" applyFill="1" applyBorder="1" applyAlignment="1">
      <alignment horizontal="center" vertical="center" wrapText="1"/>
    </xf>
    <xf numFmtId="0" fontId="11" fillId="21" borderId="119" xfId="48" applyFont="1" applyFill="1" applyBorder="1" applyAlignment="1">
      <alignment horizontal="center" vertical="center" wrapText="1"/>
    </xf>
    <xf numFmtId="0" fontId="11" fillId="21" borderId="121" xfId="48" applyFont="1" applyFill="1" applyBorder="1" applyAlignment="1">
      <alignment horizontal="center" vertical="center" wrapText="1"/>
    </xf>
    <xf numFmtId="0" fontId="10" fillId="0" borderId="0" xfId="0" applyFont="1" applyBorder="1" applyAlignment="1">
      <alignment horizontal="center" vertical="center" wrapText="1"/>
    </xf>
    <xf numFmtId="0" fontId="56" fillId="0" borderId="0" xfId="0" applyFont="1" applyBorder="1" applyAlignment="1">
      <alignment horizontal="center" vertical="center"/>
    </xf>
    <xf numFmtId="0" fontId="9" fillId="0" borderId="0" xfId="0" applyFont="1" applyBorder="1" applyAlignment="1">
      <alignment horizontal="center"/>
    </xf>
    <xf numFmtId="3" fontId="10" fillId="4" borderId="76" xfId="0" applyNumberFormat="1" applyFont="1" applyFill="1" applyBorder="1"/>
    <xf numFmtId="0" fontId="0" fillId="0" borderId="130" xfId="0" applyBorder="1"/>
    <xf numFmtId="0" fontId="78" fillId="0" borderId="6" xfId="0" applyFont="1" applyFill="1" applyBorder="1" applyAlignment="1" applyProtection="1">
      <alignment horizontal="center"/>
      <protection hidden="1"/>
    </xf>
    <xf numFmtId="0" fontId="78" fillId="0" borderId="38" xfId="0" applyFont="1" applyFill="1" applyBorder="1" applyProtection="1">
      <protection hidden="1"/>
    </xf>
    <xf numFmtId="3" fontId="79" fillId="0" borderId="6" xfId="0" applyNumberFormat="1" applyFont="1" applyBorder="1"/>
    <xf numFmtId="2" fontId="79" fillId="0" borderId="35" xfId="0" applyNumberFormat="1" applyFont="1" applyBorder="1"/>
    <xf numFmtId="2" fontId="79" fillId="0" borderId="38" xfId="0" applyNumberFormat="1" applyFont="1" applyBorder="1"/>
    <xf numFmtId="2" fontId="79" fillId="0" borderId="32" xfId="0" applyNumberFormat="1" applyFont="1" applyBorder="1"/>
    <xf numFmtId="3" fontId="79" fillId="0" borderId="8" xfId="0" applyNumberFormat="1" applyFont="1" applyBorder="1"/>
    <xf numFmtId="0" fontId="79" fillId="0" borderId="9" xfId="44" applyFont="1" applyFill="1" applyBorder="1" applyAlignment="1">
      <alignment horizontal="center"/>
    </xf>
    <xf numFmtId="167" fontId="79" fillId="0" borderId="9" xfId="44" applyNumberFormat="1" applyFont="1" applyFill="1" applyBorder="1"/>
    <xf numFmtId="167" fontId="79" fillId="0" borderId="37" xfId="44" applyNumberFormat="1" applyFont="1" applyFill="1" applyBorder="1"/>
    <xf numFmtId="167" fontId="81" fillId="0" borderId="9" xfId="44" applyNumberFormat="1" applyFont="1" applyFill="1" applyBorder="1"/>
    <xf numFmtId="167" fontId="79" fillId="0" borderId="9" xfId="44" applyNumberFormat="1" applyFont="1" applyFill="1" applyBorder="1" applyAlignment="1">
      <alignment vertical="center"/>
    </xf>
    <xf numFmtId="167" fontId="80" fillId="0" borderId="0" xfId="44" applyNumberFormat="1" applyFont="1" applyFill="1" applyBorder="1"/>
    <xf numFmtId="0" fontId="80" fillId="0" borderId="9" xfId="44" applyFont="1" applyFill="1" applyBorder="1" applyAlignment="1">
      <alignment horizontal="center"/>
    </xf>
    <xf numFmtId="167" fontId="80" fillId="0" borderId="9" xfId="44" applyNumberFormat="1" applyFont="1" applyFill="1" applyBorder="1" applyAlignment="1">
      <alignment vertical="center"/>
    </xf>
    <xf numFmtId="173" fontId="80" fillId="0" borderId="9" xfId="44" applyNumberFormat="1" applyFont="1" applyFill="1" applyBorder="1"/>
    <xf numFmtId="173" fontId="79" fillId="0" borderId="37" xfId="44" applyNumberFormat="1" applyFont="1" applyFill="1" applyBorder="1"/>
    <xf numFmtId="173" fontId="79" fillId="0" borderId="9" xfId="44" applyNumberFormat="1" applyFont="1" applyFill="1" applyBorder="1"/>
    <xf numFmtId="173" fontId="81" fillId="0" borderId="9" xfId="44" applyNumberFormat="1" applyFont="1" applyFill="1" applyBorder="1"/>
    <xf numFmtId="173" fontId="79" fillId="0" borderId="9" xfId="44" applyNumberFormat="1" applyFont="1" applyFill="1" applyBorder="1" applyAlignment="1">
      <alignment vertical="center"/>
    </xf>
    <xf numFmtId="173" fontId="80" fillId="0" borderId="23" xfId="44" applyNumberFormat="1" applyFont="1" applyFill="1" applyBorder="1"/>
  </cellXfs>
  <cellStyles count="51">
    <cellStyle name="20 % – Zvýraznění 6" xfId="40" builtinId="50"/>
    <cellStyle name="20 % – Zvýraznění 6 2" xfId="50" xr:uid="{00000000-0005-0000-0000-00005D000000}"/>
    <cellStyle name="Čárka" xfId="42" builtinId="3"/>
    <cellStyle name="Normální" xfId="0" builtinId="0"/>
    <cellStyle name="Normální 10" xfId="2" xr:uid="{00000000-0005-0000-0000-000002000000}"/>
    <cellStyle name="Normální 11" xfId="3" xr:uid="{00000000-0005-0000-0000-000003000000}"/>
    <cellStyle name="Normální 11 2" xfId="34" xr:uid="{00000000-0005-0000-0000-000004000000}"/>
    <cellStyle name="Normální 12" xfId="30" xr:uid="{00000000-0005-0000-0000-000005000000}"/>
    <cellStyle name="Normální 13" xfId="31" xr:uid="{00000000-0005-0000-0000-000006000000}"/>
    <cellStyle name="Normální 14" xfId="33" xr:uid="{00000000-0005-0000-0000-000007000000}"/>
    <cellStyle name="normální 14 3" xfId="35" xr:uid="{00000000-0005-0000-0000-000008000000}"/>
    <cellStyle name="normální 15" xfId="39" xr:uid="{00000000-0005-0000-0000-000009000000}"/>
    <cellStyle name="Normální 16" xfId="41" xr:uid="{00000000-0005-0000-0000-00000A000000}"/>
    <cellStyle name="Normální 16 2" xfId="45" xr:uid="{840020FD-F437-4757-B1DA-47DF10E6C4ED}"/>
    <cellStyle name="Normální 17" xfId="46" xr:uid="{00000000-0005-0000-0000-000059000000}"/>
    <cellStyle name="Normální 18" xfId="47" xr:uid="{00000000-0005-0000-0000-00005A000000}"/>
    <cellStyle name="Normální 19" xfId="48" xr:uid="{D1E534B9-99CC-4D1A-A7D6-A017D09CB502}"/>
    <cellStyle name="normální 2" xfId="4" xr:uid="{00000000-0005-0000-0000-00000B000000}"/>
    <cellStyle name="normální 2 2" xfId="5" xr:uid="{00000000-0005-0000-0000-00000C000000}"/>
    <cellStyle name="normální 2 2 2" xfId="6" xr:uid="{00000000-0005-0000-0000-00000D000000}"/>
    <cellStyle name="normální 2 2 3" xfId="36" xr:uid="{00000000-0005-0000-0000-00000E000000}"/>
    <cellStyle name="normální 2 3" xfId="7" xr:uid="{00000000-0005-0000-0000-00000F000000}"/>
    <cellStyle name="normální 2 3 2" xfId="8" xr:uid="{00000000-0005-0000-0000-000010000000}"/>
    <cellStyle name="normální 2 3 2 2" xfId="9" xr:uid="{00000000-0005-0000-0000-000011000000}"/>
    <cellStyle name="normální 2 3 2_PV Rozpis rozpočtu VŠ 2011 III - tabulkové přílohy" xfId="10" xr:uid="{00000000-0005-0000-0000-000012000000}"/>
    <cellStyle name="normální 2 3_PV Rozpis rozpočtu VŠ 2011 III - tabulkové přílohy" xfId="11" xr:uid="{00000000-0005-0000-0000-000013000000}"/>
    <cellStyle name="normální 2 4" xfId="12" xr:uid="{00000000-0005-0000-0000-000014000000}"/>
    <cellStyle name="normální 2 4 2" xfId="13" xr:uid="{00000000-0005-0000-0000-000015000000}"/>
    <cellStyle name="normální 2 4_PV Rozpis rozpočtu VŠ 2011 III - tabulkové přílohy" xfId="14" xr:uid="{00000000-0005-0000-0000-000016000000}"/>
    <cellStyle name="normální 2 5" xfId="15" xr:uid="{00000000-0005-0000-0000-000017000000}"/>
    <cellStyle name="normální 2 5 2" xfId="37" xr:uid="{00000000-0005-0000-0000-000018000000}"/>
    <cellStyle name="normální 2 6" xfId="16" xr:uid="{00000000-0005-0000-0000-000019000000}"/>
    <cellStyle name="Normální 2_cizinci_prepocteni" xfId="32" xr:uid="{00000000-0005-0000-0000-00001A000000}"/>
    <cellStyle name="Normální 20" xfId="49" xr:uid="{1669E6E4-5778-44CF-BF36-13FEB5EB97EB}"/>
    <cellStyle name="normální 3" xfId="17" xr:uid="{00000000-0005-0000-0000-00001B000000}"/>
    <cellStyle name="normální 3 2" xfId="18" xr:uid="{00000000-0005-0000-0000-00001C000000}"/>
    <cellStyle name="normální 3_PV Rozpis rozpočtu VŠ 2011 III - tabulkové přílohy" xfId="19" xr:uid="{00000000-0005-0000-0000-00001D000000}"/>
    <cellStyle name="normální 4" xfId="20" xr:uid="{00000000-0005-0000-0000-00001E000000}"/>
    <cellStyle name="normální 5" xfId="21" xr:uid="{00000000-0005-0000-0000-00001F000000}"/>
    <cellStyle name="normální 5 2" xfId="22" xr:uid="{00000000-0005-0000-0000-000020000000}"/>
    <cellStyle name="normální 6" xfId="23" xr:uid="{00000000-0005-0000-0000-000021000000}"/>
    <cellStyle name="Normální 7" xfId="24" xr:uid="{00000000-0005-0000-0000-000022000000}"/>
    <cellStyle name="Normální 8" xfId="1" xr:uid="{00000000-0005-0000-0000-000023000000}"/>
    <cellStyle name="Normální 8 2" xfId="44" xr:uid="{55C78677-6800-4CBD-8EFC-FE3C97ACD9CE}"/>
    <cellStyle name="Normální 9" xfId="25" xr:uid="{00000000-0005-0000-0000-000024000000}"/>
    <cellStyle name="procent 2" xfId="26" xr:uid="{00000000-0005-0000-0000-000025000000}"/>
    <cellStyle name="procent 2 2" xfId="38" xr:uid="{00000000-0005-0000-0000-000026000000}"/>
    <cellStyle name="procent 3" xfId="27" xr:uid="{00000000-0005-0000-0000-000027000000}"/>
    <cellStyle name="procent 4" xfId="28" xr:uid="{00000000-0005-0000-0000-000028000000}"/>
    <cellStyle name="Procenta" xfId="43" builtinId="5"/>
    <cellStyle name="Procenta 4" xfId="29" xr:uid="{00000000-0005-0000-0000-000029000000}"/>
  </cellStyles>
  <dxfs count="0"/>
  <tableStyles count="0" defaultTableStyle="TableStyleMedium2" defaultPivotStyle="PivotStyleLight16"/>
  <colors>
    <mruColors>
      <color rgb="FFCCFF66"/>
      <color rgb="FFDEE9F0"/>
      <color rgb="FFCCFFCC"/>
      <color rgb="FFFFFF99"/>
      <color rgb="FF99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13</xdr:col>
      <xdr:colOff>98066</xdr:colOff>
      <xdr:row>3</xdr:row>
      <xdr:rowOff>3042</xdr:rowOff>
    </xdr:from>
    <xdr:to>
      <xdr:col>17</xdr:col>
      <xdr:colOff>11205</xdr:colOff>
      <xdr:row>12</xdr:row>
      <xdr:rowOff>123265</xdr:rowOff>
    </xdr:to>
    <xdr:sp macro="" textlink="">
      <xdr:nvSpPr>
        <xdr:cNvPr id="2" name="TextovéPole 1">
          <a:extLst>
            <a:ext uri="{FF2B5EF4-FFF2-40B4-BE49-F238E27FC236}">
              <a16:creationId xmlns:a16="http://schemas.microsoft.com/office/drawing/2014/main" id="{0B094BA3-AD6C-46E5-8DEF-42A1B4DFDB98}"/>
            </a:ext>
          </a:extLst>
        </xdr:cNvPr>
        <xdr:cNvSpPr txBox="1"/>
      </xdr:nvSpPr>
      <xdr:spPr>
        <a:xfrm>
          <a:off x="13471166" y="669792"/>
          <a:ext cx="3075439" cy="166327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Návrh rozdělení financí je sestaven v souladu s Pravidly rozdělení institucionální části příspěvku ze státního rozpočtu a institucionální podpory na dlouhodobý koncepční rozvoj výzkumné organizace na Ostravské </a:t>
          </a:r>
          <a:r>
            <a:rPr lang="cs-CZ" sz="1100">
              <a:solidFill>
                <a:sysClr val="windowText" lastClr="000000"/>
              </a:solidFill>
            </a:rPr>
            <a:t>univerzitě na roky 2021 - 2025</a:t>
          </a:r>
          <a:r>
            <a:rPr lang="cs-CZ" sz="1100" baseline="0"/>
            <a:t>.</a:t>
          </a:r>
          <a:endParaRPr lang="cs-CZ"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98066</xdr:colOff>
      <xdr:row>3</xdr:row>
      <xdr:rowOff>3042</xdr:rowOff>
    </xdr:from>
    <xdr:to>
      <xdr:col>17</xdr:col>
      <xdr:colOff>324554</xdr:colOff>
      <xdr:row>12</xdr:row>
      <xdr:rowOff>129540</xdr:rowOff>
    </xdr:to>
    <xdr:sp macro="" textlink="">
      <xdr:nvSpPr>
        <xdr:cNvPr id="2" name="TextovéPole 1">
          <a:extLst>
            <a:ext uri="{FF2B5EF4-FFF2-40B4-BE49-F238E27FC236}">
              <a16:creationId xmlns:a16="http://schemas.microsoft.com/office/drawing/2014/main" id="{30076D78-4CB0-43A9-8B25-78C5C0F2FCB2}"/>
            </a:ext>
          </a:extLst>
        </xdr:cNvPr>
        <xdr:cNvSpPr txBox="1"/>
      </xdr:nvSpPr>
      <xdr:spPr>
        <a:xfrm>
          <a:off x="13023491" y="650742"/>
          <a:ext cx="4246038" cy="158382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Návrh rozdělení financí je sestaven v souladu s Pravidly rozdělení institucionální části příspěvku ze státního rozpočtu a institucionální podpory na dlouhodobý koncepční rozvoj výzkumné organizace na Ostravské </a:t>
          </a:r>
          <a:r>
            <a:rPr lang="cs-CZ" sz="1100">
              <a:solidFill>
                <a:sysClr val="windowText" lastClr="000000"/>
              </a:solidFill>
            </a:rPr>
            <a:t>univerzitě na roky 2021 - 2025</a:t>
          </a:r>
          <a:r>
            <a:rPr lang="cs-CZ" sz="1100" baseline="0"/>
            <a:t>.</a:t>
          </a:r>
          <a:endParaRPr lang="cs-CZ"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98066</xdr:colOff>
      <xdr:row>3</xdr:row>
      <xdr:rowOff>3042</xdr:rowOff>
    </xdr:from>
    <xdr:to>
      <xdr:col>17</xdr:col>
      <xdr:colOff>324554</xdr:colOff>
      <xdr:row>12</xdr:row>
      <xdr:rowOff>129540</xdr:rowOff>
    </xdr:to>
    <xdr:sp macro="" textlink="">
      <xdr:nvSpPr>
        <xdr:cNvPr id="2" name="TextovéPole 1">
          <a:extLst>
            <a:ext uri="{FF2B5EF4-FFF2-40B4-BE49-F238E27FC236}">
              <a16:creationId xmlns:a16="http://schemas.microsoft.com/office/drawing/2014/main" id="{6C56DA65-6399-4A9E-9558-6EC47F92430F}"/>
            </a:ext>
          </a:extLst>
        </xdr:cNvPr>
        <xdr:cNvSpPr txBox="1"/>
      </xdr:nvSpPr>
      <xdr:spPr>
        <a:xfrm>
          <a:off x="13109216" y="650742"/>
          <a:ext cx="3388788" cy="158382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Návrh rozdělení financí je sestaven v souladu s Pravidly rozdělení institucionální části příspěvku ze státního rozpočtu a institucionální podpory na dlouhodobý koncepční rozvoj výzkumné organizace na Ostravské </a:t>
          </a:r>
          <a:r>
            <a:rPr lang="cs-CZ" sz="1100">
              <a:solidFill>
                <a:sysClr val="windowText" lastClr="000000"/>
              </a:solidFill>
            </a:rPr>
            <a:t>univerzitě na roky 2021 - 2025</a:t>
          </a:r>
          <a:r>
            <a:rPr lang="cs-CZ" sz="1100" baseline="0"/>
            <a:t>.</a:t>
          </a:r>
          <a:endParaRPr lang="cs-CZ"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98067</xdr:colOff>
      <xdr:row>2</xdr:row>
      <xdr:rowOff>165320</xdr:rowOff>
    </xdr:from>
    <xdr:to>
      <xdr:col>14</xdr:col>
      <xdr:colOff>403860</xdr:colOff>
      <xdr:row>12</xdr:row>
      <xdr:rowOff>129540</xdr:rowOff>
    </xdr:to>
    <xdr:sp macro="" textlink="">
      <xdr:nvSpPr>
        <xdr:cNvPr id="2" name="TextovéPole 1">
          <a:extLst>
            <a:ext uri="{FF2B5EF4-FFF2-40B4-BE49-F238E27FC236}">
              <a16:creationId xmlns:a16="http://schemas.microsoft.com/office/drawing/2014/main" id="{2E9DD2EA-5914-4D01-98BE-DF1E7BCC1319}"/>
            </a:ext>
          </a:extLst>
        </xdr:cNvPr>
        <xdr:cNvSpPr txBox="1"/>
      </xdr:nvSpPr>
      <xdr:spPr>
        <a:xfrm>
          <a:off x="12985392" y="651095"/>
          <a:ext cx="2144118" cy="158347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Návrh rozdělení financí je sestaven v souladu s Pravidly rozdělení institucionální části příspěvku ze státního rozpočtu a institucionální podpory na dlouhodobý koncepční rozvoj výzkumné organizace na Ostravské univerzitě </a:t>
          </a:r>
          <a:r>
            <a:rPr lang="cs-CZ" sz="1100">
              <a:solidFill>
                <a:srgbClr val="FF0000"/>
              </a:solidFill>
            </a:rPr>
            <a:t>na rok 2020</a:t>
          </a:r>
          <a:r>
            <a:rPr lang="cs-CZ" sz="1100" baseline="0"/>
            <a:t>.</a:t>
          </a:r>
          <a:endParaRPr lang="cs-CZ"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8-10-2016/Iveta%20aktu&#225;ln&#237;%20I/Rozpo&#269;et/2022/Rozpo&#269;et%20FF%20OU_2022_moj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trungova\AppData\Local\Microsoft\Windows\INetCache\Content.Outlook\UK6SS1D7\2023_studijni_rozpocet_podklady%20za%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8-10-2016/Iveta%20aktu&#225;ln&#237;%20I/Rozpo&#269;et/2022/Navrh_na_rozdeleni_financnich_prostredku_FF%20OU_2022_AS_FF_OU_schvaleno_09-06-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trungova\AppData\Local\Microsoft\Windows\INetCache\Content.Outlook\UK6SS1D7\Navrh_Prispevku_2023_pro_ASOU_verze_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8-10-2016/Iveta%20aktu&#225;ln&#237;%20I/Rozpo&#269;et/2022/21-04-2022_Navrh_Rozdeleni_Prispevku_a_DKRVO_2022_pro_VKR_verze_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Strungova\AppData\Local\Microsoft\Windows\INetCache\Content.Outlook\7DYYUHU8\_14_Navrh_Rozdeleni_Prispevku_VC_DKRVO_2021_A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8-10-2016/Iveta%20aktu&#225;ln&#237;%20I/Rozpo&#269;et/2020/Rozpocet_OU_2020_schvaleno_ASOU_18-05-2020/Priloha_2_Rozdeleni_prispevku_a_IP_2020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zdělení financí FF 2022"/>
      <sheetName val="tab A-2022"/>
      <sheetName val="Rozpis P2 a děkanátu 2022"/>
      <sheetName val="Rozdělení financí FF2022 detail"/>
      <sheetName val="Zápočty a Zk"/>
      <sheetName val="VŠKP"/>
      <sheetName val="Počty studentů"/>
      <sheetName val="Granty I"/>
      <sheetName val="Granty II"/>
      <sheetName val="Výstupy do RIV"/>
      <sheetName val="Modul 1"/>
      <sheetName val="Modul 2"/>
      <sheetName val="Modul 3"/>
      <sheetName val="Mobility"/>
      <sheetName val="Garantovana_mista_2022"/>
      <sheetName val="Garanti"/>
      <sheetName val="Opravy 2022"/>
      <sheetName val="Provoz 2022"/>
      <sheetName val="FPP k 31-12-2021"/>
      <sheetName val="CELKEM 2022"/>
      <sheetName val="CELKEM 2021"/>
      <sheetName val="Celkem 2020"/>
    </sheetNames>
    <sheetDataSet>
      <sheetData sheetId="0">
        <row r="4">
          <cell r="C4">
            <v>6608619.0530966138</v>
          </cell>
        </row>
        <row r="5">
          <cell r="C5">
            <v>4374164.9587948015</v>
          </cell>
        </row>
        <row r="6">
          <cell r="C6">
            <v>9228565.859773783</v>
          </cell>
        </row>
        <row r="7">
          <cell r="C7">
            <v>3933173.2989531578</v>
          </cell>
        </row>
        <row r="8">
          <cell r="C8">
            <v>5295521.3326218324</v>
          </cell>
        </row>
        <row r="9">
          <cell r="C9">
            <v>5637843.5669378294</v>
          </cell>
        </row>
        <row r="10">
          <cell r="C10">
            <v>5199199.8352268152</v>
          </cell>
        </row>
        <row r="11">
          <cell r="C11">
            <v>4729459.7100118445</v>
          </cell>
        </row>
        <row r="12">
          <cell r="C12">
            <v>776949.96380860952</v>
          </cell>
        </row>
        <row r="13">
          <cell r="C13">
            <v>9633726.6873127259</v>
          </cell>
        </row>
        <row r="14">
          <cell r="C14">
            <v>8770747.1422393583</v>
          </cell>
        </row>
        <row r="15">
          <cell r="C15">
            <v>7509040.5515827471</v>
          </cell>
        </row>
        <row r="16">
          <cell r="C16">
            <v>263158.26365091355</v>
          </cell>
        </row>
        <row r="17">
          <cell r="C17">
            <v>5541727.7481867103</v>
          </cell>
        </row>
        <row r="18">
          <cell r="C18">
            <v>7570422.6554293567</v>
          </cell>
        </row>
        <row r="19">
          <cell r="C19">
            <v>3357672.7132333894</v>
          </cell>
        </row>
        <row r="20">
          <cell r="C20">
            <v>1682928.377406046</v>
          </cell>
        </row>
        <row r="21">
          <cell r="C21">
            <v>311790.95570845995</v>
          </cell>
        </row>
      </sheetData>
      <sheetData sheetId="1"/>
      <sheetData sheetId="2"/>
      <sheetData sheetId="3">
        <row r="23">
          <cell r="Q23">
            <v>250443.05309661166</v>
          </cell>
        </row>
        <row r="24">
          <cell r="Q24">
            <v>111832.15879480178</v>
          </cell>
        </row>
        <row r="25">
          <cell r="Q25">
            <v>323587.13977378182</v>
          </cell>
        </row>
        <row r="26">
          <cell r="Q26">
            <v>151824.7389531573</v>
          </cell>
        </row>
        <row r="27">
          <cell r="Q27">
            <v>171891.17262183252</v>
          </cell>
        </row>
        <row r="28">
          <cell r="Q28">
            <v>231627.8069378291</v>
          </cell>
        </row>
        <row r="29">
          <cell r="Q29">
            <v>253951.83522681514</v>
          </cell>
        </row>
        <row r="30">
          <cell r="Q30">
            <v>137443.71001184449</v>
          </cell>
        </row>
        <row r="31">
          <cell r="Q31">
            <v>35162.763808609358</v>
          </cell>
        </row>
        <row r="32">
          <cell r="Q32">
            <v>377282.12731272512</v>
          </cell>
        </row>
        <row r="33">
          <cell r="Q33">
            <v>219000.42223935795</v>
          </cell>
        </row>
        <row r="34">
          <cell r="Q34">
            <v>230695.19158274544</v>
          </cell>
        </row>
        <row r="35">
          <cell r="Q35">
            <v>15895.863650913489</v>
          </cell>
        </row>
        <row r="36">
          <cell r="Q36">
            <v>243247.74818671017</v>
          </cell>
        </row>
        <row r="37">
          <cell r="Q37">
            <v>364489.855429355</v>
          </cell>
        </row>
        <row r="38">
          <cell r="Q38">
            <v>35525.753233388452</v>
          </cell>
        </row>
        <row r="39">
          <cell r="Q39">
            <v>128707.57740604575</v>
          </cell>
        </row>
        <row r="40">
          <cell r="Q40">
            <v>64528.55570845992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ápočty a Zk"/>
      <sheetName val="Zp+ZK_2022"/>
      <sheetName val="VŠKP"/>
      <sheetName val="VSKP_2022"/>
      <sheetName val="Počty studentů"/>
      <sheetName val="Počty studentů 2022"/>
    </sheetNames>
    <sheetDataSet>
      <sheetData sheetId="0" refreshError="1"/>
      <sheetData sheetId="1">
        <row r="31">
          <cell r="C31">
            <v>2000</v>
          </cell>
          <cell r="E31">
            <v>2104</v>
          </cell>
        </row>
        <row r="32">
          <cell r="C32">
            <v>394</v>
          </cell>
          <cell r="E32">
            <v>858</v>
          </cell>
        </row>
        <row r="33">
          <cell r="C33">
            <v>175</v>
          </cell>
          <cell r="E33">
            <v>708</v>
          </cell>
        </row>
        <row r="34">
          <cell r="C34">
            <v>214</v>
          </cell>
          <cell r="E34">
            <v>287</v>
          </cell>
        </row>
        <row r="35">
          <cell r="C35">
            <v>582</v>
          </cell>
          <cell r="E35">
            <v>1049</v>
          </cell>
        </row>
        <row r="36">
          <cell r="C36">
            <v>603</v>
          </cell>
          <cell r="E36">
            <v>800</v>
          </cell>
        </row>
        <row r="37">
          <cell r="C37">
            <v>724</v>
          </cell>
          <cell r="E37">
            <v>981</v>
          </cell>
        </row>
        <row r="38">
          <cell r="C38">
            <v>327</v>
          </cell>
          <cell r="E38">
            <v>349</v>
          </cell>
        </row>
        <row r="39">
          <cell r="C39">
            <v>338</v>
          </cell>
          <cell r="E39">
            <v>424</v>
          </cell>
        </row>
        <row r="40">
          <cell r="C40">
            <v>1610</v>
          </cell>
          <cell r="E40">
            <v>1395</v>
          </cell>
        </row>
        <row r="41">
          <cell r="C41">
            <v>792</v>
          </cell>
          <cell r="E41">
            <v>977</v>
          </cell>
        </row>
        <row r="42">
          <cell r="C42">
            <v>389</v>
          </cell>
          <cell r="E42">
            <v>740</v>
          </cell>
        </row>
        <row r="43">
          <cell r="C43">
            <v>934</v>
          </cell>
          <cell r="E43">
            <v>1116</v>
          </cell>
        </row>
      </sheetData>
      <sheetData sheetId="2" refreshError="1"/>
      <sheetData sheetId="3">
        <row r="28">
          <cell r="D28">
            <v>35</v>
          </cell>
        </row>
        <row r="29">
          <cell r="D29">
            <v>11</v>
          </cell>
        </row>
        <row r="30">
          <cell r="D30">
            <v>3</v>
          </cell>
        </row>
        <row r="31">
          <cell r="D31">
            <v>11</v>
          </cell>
        </row>
        <row r="32">
          <cell r="D32">
            <v>8</v>
          </cell>
        </row>
        <row r="33">
          <cell r="D33">
            <v>10</v>
          </cell>
        </row>
        <row r="34">
          <cell r="D34">
            <v>1</v>
          </cell>
        </row>
        <row r="35">
          <cell r="D35">
            <v>9</v>
          </cell>
        </row>
        <row r="36">
          <cell r="D36">
            <v>7</v>
          </cell>
        </row>
        <row r="37">
          <cell r="D37">
            <v>13</v>
          </cell>
        </row>
        <row r="38">
          <cell r="D38">
            <v>6</v>
          </cell>
        </row>
        <row r="39">
          <cell r="D39">
            <v>3</v>
          </cell>
        </row>
        <row r="40">
          <cell r="D40">
            <v>18</v>
          </cell>
        </row>
        <row r="41">
          <cell r="D41">
            <v>10</v>
          </cell>
        </row>
        <row r="42">
          <cell r="D42">
            <v>22</v>
          </cell>
        </row>
        <row r="43">
          <cell r="D43">
            <v>9</v>
          </cell>
        </row>
        <row r="44">
          <cell r="D44">
            <v>5</v>
          </cell>
        </row>
        <row r="45">
          <cell r="D45">
            <v>10</v>
          </cell>
        </row>
        <row r="46">
          <cell r="D46">
            <v>5</v>
          </cell>
        </row>
        <row r="47">
          <cell r="D47">
            <v>1</v>
          </cell>
        </row>
        <row r="48">
          <cell r="D48">
            <v>48</v>
          </cell>
        </row>
        <row r="49">
          <cell r="D49">
            <v>14</v>
          </cell>
        </row>
        <row r="50">
          <cell r="D50">
            <v>6</v>
          </cell>
        </row>
        <row r="51">
          <cell r="D51">
            <v>9</v>
          </cell>
        </row>
        <row r="52">
          <cell r="D52">
            <v>8</v>
          </cell>
        </row>
        <row r="53">
          <cell r="D53">
            <v>21</v>
          </cell>
        </row>
      </sheetData>
      <sheetData sheetId="4" refreshError="1"/>
      <sheetData sheetId="5">
        <row r="6">
          <cell r="B6">
            <v>219</v>
          </cell>
          <cell r="C6">
            <v>191</v>
          </cell>
          <cell r="D6">
            <v>133.5</v>
          </cell>
          <cell r="E6">
            <v>71</v>
          </cell>
          <cell r="F6">
            <v>62.5</v>
          </cell>
          <cell r="G6">
            <v>107.75</v>
          </cell>
          <cell r="H6">
            <v>72.75</v>
          </cell>
          <cell r="I6">
            <v>77</v>
          </cell>
          <cell r="J6">
            <v>331</v>
          </cell>
          <cell r="K6">
            <v>133</v>
          </cell>
          <cell r="L6">
            <v>104</v>
          </cell>
          <cell r="M6">
            <v>220</v>
          </cell>
          <cell r="N6">
            <v>204</v>
          </cell>
          <cell r="O6">
            <v>6.5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zdělení financí FF 2022"/>
      <sheetName val="tab A-2022"/>
      <sheetName val="Rozpis P2 a děkanátu 2022"/>
      <sheetName val="Rozdělení financí FF2022 detail"/>
      <sheetName val="Zápočty a Zk"/>
      <sheetName val="VŠKP"/>
      <sheetName val="Počty studentů"/>
      <sheetName val="Granty I"/>
      <sheetName val="Granty II"/>
      <sheetName val="Výstupy do RIV"/>
      <sheetName val="Modul 1"/>
      <sheetName val="Modul 2"/>
      <sheetName val="Modul 3"/>
      <sheetName val="Mobility"/>
      <sheetName val="Garantovana_mista_2022"/>
      <sheetName val="Garanti"/>
      <sheetName val="Opravy 2022"/>
      <sheetName val="Provoz 2022"/>
      <sheetName val="FPP k 31-12-2021"/>
      <sheetName val="CELKEM 2022"/>
      <sheetName val="CELKEM 2021"/>
      <sheetName val="Celkem 20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7">
          <cell r="B47">
            <v>75382063.680000007</v>
          </cell>
        </row>
        <row r="48">
          <cell r="B48">
            <v>2790532.8000000003</v>
          </cell>
        </row>
        <row r="49">
          <cell r="B49">
            <v>21286677.957600001</v>
          </cell>
        </row>
      </sheetData>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LKEM"/>
      <sheetName val="Institucionální podpora"/>
      <sheetName val="PVk"/>
      <sheetName val="Studenti_KEN"/>
      <sheetName val="Mezifakultní_výuka"/>
      <sheetName val="Priority1-celouniverzitní"/>
      <sheetName val="Priority1-služby"/>
      <sheetName val="Priority1-provoz budov R,UK,CIT"/>
      <sheetName val="Podíl na P1"/>
      <sheetName val="Priority 2"/>
      <sheetName val="VaV_publ_akademici"/>
      <sheetName val="Mobilita-příjezd-fakulty"/>
      <sheetName val="Mobilita-výjezd-fakulty"/>
      <sheetName val="Cizinci"/>
      <sheetName val="Plochy"/>
      <sheetName val="Zdroje"/>
      <sheetName val="Ext_Prijmy"/>
    </sheetNames>
    <sheetDataSet>
      <sheetData sheetId="0" refreshError="1"/>
      <sheetData sheetId="1">
        <row r="17">
          <cell r="F17">
            <v>16599.326773751203</v>
          </cell>
        </row>
        <row r="18">
          <cell r="F18">
            <v>3042.3816321111326</v>
          </cell>
        </row>
        <row r="19">
          <cell r="F19">
            <v>33442.593478617055</v>
          </cell>
        </row>
        <row r="20">
          <cell r="F20">
            <v>41932.528372071087</v>
          </cell>
        </row>
        <row r="21">
          <cell r="F21">
            <v>13431.735697964741</v>
          </cell>
        </row>
        <row r="22">
          <cell r="F22">
            <v>723.31421991780417</v>
          </cell>
        </row>
        <row r="23">
          <cell r="F23">
            <v>31994.522825566975</v>
          </cell>
        </row>
      </sheetData>
      <sheetData sheetId="2">
        <row r="4">
          <cell r="AC4">
            <v>0.1</v>
          </cell>
        </row>
        <row r="5">
          <cell r="AC5">
            <v>0.3</v>
          </cell>
        </row>
        <row r="6">
          <cell r="AC6">
            <v>0.08</v>
          </cell>
        </row>
        <row r="7">
          <cell r="AC7">
            <v>0.05</v>
          </cell>
        </row>
        <row r="8">
          <cell r="W8">
            <v>16487.702360217241</v>
          </cell>
        </row>
        <row r="9">
          <cell r="W9">
            <v>4582.130695217068</v>
          </cell>
          <cell r="AC9">
            <v>0</v>
          </cell>
        </row>
        <row r="10">
          <cell r="W10">
            <v>28159.718818193916</v>
          </cell>
          <cell r="AC10">
            <v>0</v>
          </cell>
        </row>
        <row r="11">
          <cell r="W11">
            <v>36675.442615498134</v>
          </cell>
        </row>
        <row r="12">
          <cell r="W12">
            <v>20197.123744983131</v>
          </cell>
          <cell r="AC12">
            <v>0.1</v>
          </cell>
        </row>
        <row r="13">
          <cell r="W13">
            <v>17928.241765890529</v>
          </cell>
          <cell r="AC13">
            <v>0.37</v>
          </cell>
        </row>
        <row r="14">
          <cell r="W14">
            <v>0</v>
          </cell>
        </row>
      </sheetData>
      <sheetData sheetId="3">
        <row r="42">
          <cell r="T42">
            <v>-391.01602215417705</v>
          </cell>
        </row>
        <row r="43">
          <cell r="R43">
            <v>-168.6584109669167</v>
          </cell>
          <cell r="S43">
            <v>-1694.5137998773721</v>
          </cell>
        </row>
      </sheetData>
      <sheetData sheetId="4">
        <row r="32">
          <cell r="B32">
            <v>13797.433317094934</v>
          </cell>
          <cell r="D32">
            <v>276041.26656550338</v>
          </cell>
        </row>
      </sheetData>
      <sheetData sheetId="5" refreshError="1"/>
      <sheetData sheetId="6" refreshError="1"/>
      <sheetData sheetId="7" refreshError="1"/>
      <sheetData sheetId="8">
        <row r="10">
          <cell r="J10">
            <v>34308.833826744834</v>
          </cell>
          <cell r="M10">
            <v>1931.6532561319432</v>
          </cell>
        </row>
        <row r="11">
          <cell r="J11">
            <v>5219.0588099809056</v>
          </cell>
          <cell r="M11">
            <v>284.57367823251997</v>
          </cell>
        </row>
        <row r="12">
          <cell r="J12">
            <v>24669.39758037707</v>
          </cell>
          <cell r="M12">
            <v>1585.5849635002899</v>
          </cell>
        </row>
        <row r="13">
          <cell r="J13">
            <v>33030.02340452651</v>
          </cell>
          <cell r="M13">
            <v>2262.6426351986624</v>
          </cell>
        </row>
        <row r="14">
          <cell r="J14">
            <v>27212.891190681683</v>
          </cell>
          <cell r="M14">
            <v>2978.6268675222514</v>
          </cell>
        </row>
        <row r="15">
          <cell r="J15">
            <v>12276.128627511371</v>
          </cell>
          <cell r="M15">
            <v>1843.0599552143563</v>
          </cell>
        </row>
        <row r="16">
          <cell r="J16">
            <v>5257.7245401649088</v>
          </cell>
          <cell r="M16">
            <v>113.85864419997593</v>
          </cell>
        </row>
        <row r="21">
          <cell r="J21">
            <v>419.94202001270065</v>
          </cell>
        </row>
        <row r="30">
          <cell r="B30">
            <v>38344</v>
          </cell>
        </row>
        <row r="31">
          <cell r="B31">
            <v>92308</v>
          </cell>
        </row>
        <row r="32">
          <cell r="B32">
            <v>11742</v>
          </cell>
        </row>
      </sheetData>
      <sheetData sheetId="9">
        <row r="23">
          <cell r="B23">
            <v>3908.2070433443405</v>
          </cell>
          <cell r="C23">
            <v>549.50575519604854</v>
          </cell>
          <cell r="D23">
            <v>2249.9207865527096</v>
          </cell>
          <cell r="E23">
            <v>5458.4238349474153</v>
          </cell>
          <cell r="F23">
            <v>6227.7318922218828</v>
          </cell>
          <cell r="G23">
            <v>3252.4635088103896</v>
          </cell>
          <cell r="H23">
            <v>356.56817892721369</v>
          </cell>
        </row>
      </sheetData>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LKEM"/>
      <sheetName val="PVk"/>
      <sheetName val="Institucionální podpora"/>
      <sheetName val="Podíl na P1"/>
      <sheetName val="Priority1-celouniverzitní"/>
      <sheetName val="Priority1-služby"/>
      <sheetName val="Priority1-provoz budov R,UK,CIT"/>
      <sheetName val="Studenti_KEN"/>
      <sheetName val="Mezifakultní_výuka"/>
      <sheetName val="VaV_publ_akademici"/>
      <sheetName val="mobilita -příjezd-fakulty"/>
      <sheetName val="mobilita-výjezd-fakulty"/>
      <sheetName val="cizinci"/>
      <sheetName val="plochy"/>
      <sheetName val="Zdroje"/>
      <sheetName val="Ext_Prijmy"/>
      <sheetName val="Priority 2"/>
    </sheetNames>
    <sheetDataSet>
      <sheetData sheetId="0" refreshError="1"/>
      <sheetData sheetId="1">
        <row r="4">
          <cell r="AC4">
            <v>0.1</v>
          </cell>
        </row>
        <row r="5">
          <cell r="AC5">
            <v>0.3</v>
          </cell>
        </row>
        <row r="6">
          <cell r="AC6">
            <v>0.08</v>
          </cell>
        </row>
        <row r="7">
          <cell r="AC7">
            <v>0.05</v>
          </cell>
        </row>
        <row r="8">
          <cell r="W8">
            <v>15521.774836392782</v>
          </cell>
        </row>
        <row r="9">
          <cell r="W9">
            <v>4432.4619451839171</v>
          </cell>
          <cell r="AC9">
            <v>0</v>
          </cell>
        </row>
        <row r="10">
          <cell r="W10">
            <v>30578.069560168704</v>
          </cell>
          <cell r="AC10">
            <v>0</v>
          </cell>
        </row>
        <row r="11">
          <cell r="W11">
            <v>33908.562483486668</v>
          </cell>
        </row>
        <row r="12">
          <cell r="W12">
            <v>18120.893862504978</v>
          </cell>
          <cell r="AC12">
            <v>0.1</v>
          </cell>
        </row>
        <row r="13">
          <cell r="W13">
            <v>17490.061112262967</v>
          </cell>
          <cell r="AC13">
            <v>0.37</v>
          </cell>
        </row>
        <row r="14">
          <cell r="W14">
            <v>0</v>
          </cell>
        </row>
      </sheetData>
      <sheetData sheetId="2">
        <row r="17">
          <cell r="F17">
            <v>16925.366376953225</v>
          </cell>
        </row>
        <row r="18">
          <cell r="F18">
            <v>3028.0811578795201</v>
          </cell>
        </row>
        <row r="19">
          <cell r="F19">
            <v>34099.464088879213</v>
          </cell>
        </row>
        <row r="20">
          <cell r="F20">
            <v>41735.427839014337</v>
          </cell>
        </row>
        <row r="21">
          <cell r="F21">
            <v>13494.240328721155</v>
          </cell>
        </row>
        <row r="22">
          <cell r="F22">
            <v>726.68016526198448</v>
          </cell>
        </row>
        <row r="23">
          <cell r="F23">
            <v>31157.143043290562</v>
          </cell>
        </row>
      </sheetData>
      <sheetData sheetId="3">
        <row r="10">
          <cell r="J10">
            <v>29572.77122525404</v>
          </cell>
          <cell r="M10">
            <v>2204.6340774660157</v>
          </cell>
        </row>
        <row r="11">
          <cell r="J11">
            <v>5266.4870056262253</v>
          </cell>
          <cell r="M11">
            <v>364.79678243614455</v>
          </cell>
        </row>
        <row r="12">
          <cell r="J12">
            <v>24489.735779804476</v>
          </cell>
          <cell r="M12">
            <v>1760.4729526583042</v>
          </cell>
        </row>
        <row r="13">
          <cell r="J13">
            <v>32176.681563721319</v>
          </cell>
          <cell r="M13">
            <v>2556.0695058338888</v>
          </cell>
        </row>
        <row r="14">
          <cell r="J14">
            <v>26207.141985516886</v>
          </cell>
          <cell r="M14">
            <v>1833.9094024991837</v>
          </cell>
        </row>
        <row r="15">
          <cell r="J15">
            <v>12143.808347669736</v>
          </cell>
          <cell r="M15">
            <v>1140.3033516036442</v>
          </cell>
        </row>
        <row r="16">
          <cell r="J16">
            <v>5224.0586416451606</v>
          </cell>
          <cell r="M16">
            <v>139.81392750281813</v>
          </cell>
        </row>
        <row r="21">
          <cell r="J21">
            <v>1542.3154507621416</v>
          </cell>
        </row>
        <row r="30">
          <cell r="B30">
            <v>40008</v>
          </cell>
        </row>
        <row r="31">
          <cell r="B31">
            <v>86942</v>
          </cell>
        </row>
        <row r="32">
          <cell r="B32">
            <v>9673</v>
          </cell>
        </row>
      </sheetData>
      <sheetData sheetId="4" refreshError="1"/>
      <sheetData sheetId="5" refreshError="1"/>
      <sheetData sheetId="6" refreshError="1"/>
      <sheetData sheetId="7">
        <row r="41">
          <cell r="L41">
            <v>-3926.3447820043489</v>
          </cell>
        </row>
        <row r="43">
          <cell r="K43">
            <v>-3176.132641623055</v>
          </cell>
          <cell r="L43">
            <v>-1499.336266061423</v>
          </cell>
        </row>
        <row r="44">
          <cell r="L44">
            <v>-405.72399709509483</v>
          </cell>
        </row>
      </sheetData>
      <sheetData sheetId="8">
        <row r="32">
          <cell r="B32">
            <v>202008.3940005445</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LKEM"/>
      <sheetName val="Podíl na P1"/>
      <sheetName val="PVk"/>
      <sheetName val="Institucionální podpora"/>
      <sheetName val="Priority1-celouniverzitní"/>
      <sheetName val="plochy"/>
      <sheetName val="Priority1-služby"/>
      <sheetName val="Priority1-provoz budov R,UK,CIT"/>
      <sheetName val="Zdroje"/>
      <sheetName val="Priority 2"/>
      <sheetName val="Ext_Prijmy"/>
      <sheetName val="cizinci"/>
      <sheetName val="mobilita-výjezd-fakulty"/>
      <sheetName val="mobilita -příjezd-fakulty"/>
      <sheetName val="VaV_publ_akademici"/>
    </sheetNames>
    <sheetDataSet>
      <sheetData sheetId="0" refreshError="1"/>
      <sheetData sheetId="1">
        <row r="10">
          <cell r="J10">
            <v>22862.860544376857</v>
          </cell>
          <cell r="M10">
            <v>2200.8319406299124</v>
          </cell>
        </row>
        <row r="11">
          <cell r="J11">
            <v>5028.7124691190074</v>
          </cell>
          <cell r="M11">
            <v>364.54145144797036</v>
          </cell>
        </row>
        <row r="12">
          <cell r="J12">
            <v>24913.46649575526</v>
          </cell>
          <cell r="M12">
            <v>1768.9463190795348</v>
          </cell>
        </row>
        <row r="13">
          <cell r="J13">
            <v>31390.049542716311</v>
          </cell>
          <cell r="M13">
            <v>2553.8331974858011</v>
          </cell>
        </row>
        <row r="14">
          <cell r="J14">
            <v>25692.741810790769</v>
          </cell>
          <cell r="M14">
            <v>1832.6258004431702</v>
          </cell>
        </row>
        <row r="15">
          <cell r="J15">
            <v>11712.10473875081</v>
          </cell>
          <cell r="M15">
            <v>1139.5052229040461</v>
          </cell>
        </row>
        <row r="16">
          <cell r="J16">
            <v>4918.0643984909821</v>
          </cell>
          <cell r="M16">
            <v>139.71606800956437</v>
          </cell>
        </row>
        <row r="29">
          <cell r="B29">
            <v>35460</v>
          </cell>
        </row>
        <row r="30">
          <cell r="B30">
            <v>83153</v>
          </cell>
        </row>
        <row r="31">
          <cell r="B31">
            <v>7905</v>
          </cell>
        </row>
      </sheetData>
      <sheetData sheetId="2">
        <row r="4">
          <cell r="AC4">
            <v>7.0000000000000007E-2</v>
          </cell>
        </row>
        <row r="5">
          <cell r="AC5">
            <v>0.3</v>
          </cell>
        </row>
        <row r="6">
          <cell r="AC6">
            <v>0.08</v>
          </cell>
        </row>
        <row r="7">
          <cell r="AC7">
            <v>0.05</v>
          </cell>
        </row>
        <row r="8">
          <cell r="W8">
            <v>14096.848232213502</v>
          </cell>
        </row>
        <row r="9">
          <cell r="W9">
            <v>3810.3951985626118</v>
          </cell>
          <cell r="AC9">
            <v>0</v>
          </cell>
        </row>
        <row r="10">
          <cell r="W10">
            <v>31273.064834199227</v>
          </cell>
          <cell r="AC10">
            <v>0</v>
          </cell>
        </row>
        <row r="11">
          <cell r="W11">
            <v>32325.943872262429</v>
          </cell>
        </row>
        <row r="12">
          <cell r="W12">
            <v>16683.90190407911</v>
          </cell>
          <cell r="AC12">
            <v>0.1</v>
          </cell>
        </row>
        <row r="13">
          <cell r="W13">
            <v>16232.398558683135</v>
          </cell>
          <cell r="AC13">
            <v>0.4</v>
          </cell>
        </row>
        <row r="14">
          <cell r="W14">
            <v>0</v>
          </cell>
        </row>
      </sheetData>
      <sheetData sheetId="3">
        <row r="9">
          <cell r="B9">
            <v>129000</v>
          </cell>
        </row>
        <row r="23">
          <cell r="G23">
            <v>31327.836268139887</v>
          </cell>
        </row>
        <row r="24">
          <cell r="G24">
            <v>2721.939875556101</v>
          </cell>
        </row>
        <row r="25">
          <cell r="G25">
            <v>677.57512486257519</v>
          </cell>
        </row>
        <row r="26">
          <cell r="G26">
            <v>15549.660993305613</v>
          </cell>
        </row>
        <row r="27">
          <cell r="G27">
            <v>12582.373942135117</v>
          </cell>
        </row>
        <row r="28">
          <cell r="G28">
            <v>37515.944697452942</v>
          </cell>
        </row>
        <row r="29">
          <cell r="G29">
            <v>28624.669094478508</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lkem"/>
      <sheetName val="Korekce PVa 2020"/>
      <sheetName val="PVk 2020"/>
      <sheetName val="Institucionální podpora"/>
      <sheetName val="Podíl na P1"/>
      <sheetName val="Priority1-celouniverzitní"/>
      <sheetName val="Priority1-služby"/>
      <sheetName val="Priority1-provoz budov R,UK,CIT"/>
      <sheetName val="Ext_Prijmy"/>
      <sheetName val="Zdroje"/>
      <sheetName val="Priority 2"/>
      <sheetName val="cizinci"/>
      <sheetName val="mobilita-výjezd-fakulty"/>
      <sheetName val="mobilita -příjezd-fakulty"/>
      <sheetName val="Výsledky VVI"/>
    </sheetNames>
    <sheetDataSet>
      <sheetData sheetId="0" refreshError="1"/>
      <sheetData sheetId="1" refreshError="1"/>
      <sheetData sheetId="2">
        <row r="8">
          <cell r="V8">
            <v>9324.6669840088143</v>
          </cell>
        </row>
        <row r="9">
          <cell r="V9">
            <v>2812.4348601284728</v>
          </cell>
        </row>
        <row r="10">
          <cell r="V10">
            <v>22027.675133540728</v>
          </cell>
        </row>
        <row r="11">
          <cell r="V11">
            <v>20103.908287017035</v>
          </cell>
        </row>
        <row r="12">
          <cell r="V12">
            <v>11146.792379322811</v>
          </cell>
        </row>
        <row r="13">
          <cell r="V13">
            <v>13372.241789293941</v>
          </cell>
        </row>
        <row r="14">
          <cell r="V14">
            <v>5600.1805666881946</v>
          </cell>
        </row>
      </sheetData>
      <sheetData sheetId="3">
        <row r="14">
          <cell r="B14">
            <v>1253.18</v>
          </cell>
        </row>
        <row r="21">
          <cell r="C21">
            <v>15349.077378973296</v>
          </cell>
        </row>
        <row r="22">
          <cell r="C22">
            <v>2645.0531481966004</v>
          </cell>
        </row>
        <row r="23">
          <cell r="C23">
            <v>30442.917821725143</v>
          </cell>
        </row>
        <row r="24">
          <cell r="C24">
            <v>36456.230543775047</v>
          </cell>
        </row>
        <row r="25">
          <cell r="C25">
            <v>12619.372403645983</v>
          </cell>
        </row>
        <row r="26">
          <cell r="C26">
            <v>679.56753402902086</v>
          </cell>
        </row>
        <row r="27">
          <cell r="C27">
            <v>25872.601169654914</v>
          </cell>
        </row>
      </sheetData>
      <sheetData sheetId="4">
        <row r="10">
          <cell r="J10">
            <v>2104.1164243093535</v>
          </cell>
          <cell r="K10">
            <v>24938.589037035686</v>
          </cell>
        </row>
        <row r="11">
          <cell r="J11">
            <v>363.45395169509214</v>
          </cell>
          <cell r="K11">
            <v>4307.7600794764303</v>
          </cell>
        </row>
        <row r="12">
          <cell r="J12">
            <v>2042.5604715286051</v>
          </cell>
          <cell r="K12">
            <v>24209.010297263179</v>
          </cell>
        </row>
        <row r="13">
          <cell r="J13">
            <v>2468.6780814609992</v>
          </cell>
          <cell r="K13">
            <v>29259.477958070467</v>
          </cell>
        </row>
        <row r="14">
          <cell r="J14">
            <v>2151.3722344195335</v>
          </cell>
          <cell r="K14">
            <v>25498.678400121571</v>
          </cell>
        </row>
        <row r="15">
          <cell r="J15">
            <v>893.83341367973537</v>
          </cell>
          <cell r="K15">
            <v>10593.96899990756</v>
          </cell>
        </row>
        <row r="16">
          <cell r="J16">
            <v>475.98542290668013</v>
          </cell>
          <cell r="K16">
            <v>5641.5152281250894</v>
          </cell>
        </row>
        <row r="29">
          <cell r="B29">
            <v>35460</v>
          </cell>
        </row>
        <row r="30">
          <cell r="B30">
            <v>81153</v>
          </cell>
        </row>
        <row r="31">
          <cell r="B31">
            <v>7836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I32"/>
  <sheetViews>
    <sheetView tabSelected="1" zoomScaleNormal="100" workbookViewId="0"/>
  </sheetViews>
  <sheetFormatPr defaultColWidth="9.140625" defaultRowHeight="12.75" x14ac:dyDescent="0.2"/>
  <cols>
    <col min="1" max="1" width="8.140625" style="7" customWidth="1"/>
    <col min="2" max="2" width="36.7109375" style="7" customWidth="1"/>
    <col min="3" max="6" width="12.7109375" style="7" customWidth="1"/>
    <col min="7" max="7" width="10.140625" style="287" bestFit="1" customWidth="1"/>
    <col min="8" max="8" width="9.140625" style="7"/>
    <col min="9" max="9" width="11.140625" style="7" customWidth="1"/>
    <col min="10" max="16384" width="9.140625" style="7"/>
  </cols>
  <sheetData>
    <row r="1" spans="1:9" ht="15" customHeight="1" x14ac:dyDescent="0.25">
      <c r="A1" s="100" t="s">
        <v>395</v>
      </c>
    </row>
    <row r="2" spans="1:9" ht="15" customHeight="1" thickBot="1" x14ac:dyDescent="0.25"/>
    <row r="3" spans="1:9" s="139" customFormat="1" ht="18.75" thickBot="1" x14ac:dyDescent="0.25">
      <c r="A3" s="191" t="s">
        <v>0</v>
      </c>
      <c r="B3" s="192" t="s">
        <v>1</v>
      </c>
      <c r="C3" s="246" t="s">
        <v>392</v>
      </c>
      <c r="D3" s="241" t="s">
        <v>343</v>
      </c>
      <c r="E3" s="211" t="s">
        <v>393</v>
      </c>
      <c r="F3" s="194" t="s">
        <v>394</v>
      </c>
      <c r="G3" s="288"/>
      <c r="I3" s="284"/>
    </row>
    <row r="4" spans="1:9" s="8" customFormat="1" ht="14.1" customHeight="1" thickTop="1" x14ac:dyDescent="0.2">
      <c r="A4" s="9">
        <v>25100</v>
      </c>
      <c r="B4" s="155" t="s">
        <v>2</v>
      </c>
      <c r="C4" s="249">
        <f>Garantovana_mista_2023!M6+'Rozdělení financí FF2023 detail'!Q23</f>
        <v>7231265.3223455492</v>
      </c>
      <c r="D4" s="242">
        <f>'[1]Rozdělení financí FF 2022'!$C$4</f>
        <v>6608619.0530966138</v>
      </c>
      <c r="E4" s="212">
        <f>C4-D4</f>
        <v>622646.26924893539</v>
      </c>
      <c r="F4" s="159">
        <f>C4*100/D4-100</f>
        <v>9.4217303834025756</v>
      </c>
      <c r="G4" s="193"/>
      <c r="I4" s="11"/>
    </row>
    <row r="5" spans="1:9" s="8" customFormat="1" ht="14.1" customHeight="1" x14ac:dyDescent="0.2">
      <c r="A5" s="10">
        <v>25150</v>
      </c>
      <c r="B5" s="156" t="s">
        <v>3</v>
      </c>
      <c r="C5" s="249">
        <f>Garantovana_mista_2023!M7+'Rozdělení financí FF2023 detail'!Q24</f>
        <v>5713313.0752835553</v>
      </c>
      <c r="D5" s="242">
        <f>'[1]Rozdělení financí FF 2022'!$C$5</f>
        <v>4374164.9587948015</v>
      </c>
      <c r="E5" s="212">
        <f t="shared" ref="E5:E21" si="0">C5-D5</f>
        <v>1339148.1164887538</v>
      </c>
      <c r="F5" s="159">
        <f t="shared" ref="F5:F22" si="1">C5*100/D5-100</f>
        <v>30.614943174381892</v>
      </c>
      <c r="G5" s="193"/>
      <c r="I5" s="11"/>
    </row>
    <row r="6" spans="1:9" s="8" customFormat="1" ht="14.1" customHeight="1" x14ac:dyDescent="0.2">
      <c r="A6" s="10">
        <v>25200</v>
      </c>
      <c r="B6" s="156" t="s">
        <v>4</v>
      </c>
      <c r="C6" s="249">
        <f>Garantovana_mista_2023!M8+'Rozdělení financí FF2023 detail'!Q25</f>
        <v>10026596.913886525</v>
      </c>
      <c r="D6" s="242">
        <f>'[1]Rozdělení financí FF 2022'!$C$6</f>
        <v>9228565.859773783</v>
      </c>
      <c r="E6" s="212">
        <f t="shared" si="0"/>
        <v>798031.05411274172</v>
      </c>
      <c r="F6" s="159">
        <f t="shared" si="1"/>
        <v>8.6474005413047337</v>
      </c>
      <c r="G6" s="193"/>
      <c r="I6" s="11"/>
    </row>
    <row r="7" spans="1:9" s="8" customFormat="1" ht="14.1" hidden="1" customHeight="1" x14ac:dyDescent="0.2">
      <c r="A7" s="216"/>
      <c r="B7" s="217" t="s">
        <v>117</v>
      </c>
      <c r="C7" s="247">
        <f>Garantovana_mista_2023!M9+'Rozdělení financí FF2023 detail'!Q26</f>
        <v>4280774.844760675</v>
      </c>
      <c r="D7" s="243">
        <f>'[1]Rozdělení financí FF 2022'!$C$7</f>
        <v>3933173.2989531578</v>
      </c>
      <c r="E7" s="218">
        <f t="shared" si="0"/>
        <v>347601.54580751713</v>
      </c>
      <c r="F7" s="219">
        <f t="shared" si="1"/>
        <v>8.8376870121647926</v>
      </c>
      <c r="G7" s="193"/>
      <c r="I7" s="11"/>
    </row>
    <row r="8" spans="1:9" s="8" customFormat="1" ht="14.1" hidden="1" customHeight="1" x14ac:dyDescent="0.2">
      <c r="A8" s="216"/>
      <c r="B8" s="217" t="s">
        <v>118</v>
      </c>
      <c r="C8" s="247">
        <f>Garantovana_mista_2023!M10+'Rozdělení financí FF2023 detail'!Q27</f>
        <v>5743560.0965881608</v>
      </c>
      <c r="D8" s="243">
        <f>'[1]Rozdělení financí FF 2022'!$C$8</f>
        <v>5295521.3326218324</v>
      </c>
      <c r="E8" s="218">
        <f t="shared" si="0"/>
        <v>448038.76396632846</v>
      </c>
      <c r="F8" s="219">
        <f t="shared" si="1"/>
        <v>8.4607111523900329</v>
      </c>
      <c r="G8" s="193"/>
      <c r="I8" s="11"/>
    </row>
    <row r="9" spans="1:9" s="8" customFormat="1" ht="14.1" customHeight="1" x14ac:dyDescent="0.2">
      <c r="A9" s="10">
        <v>25300</v>
      </c>
      <c r="B9" s="156" t="s">
        <v>5</v>
      </c>
      <c r="C9" s="249">
        <f>Garantovana_mista_2023!M11+'Rozdělení financí FF2023 detail'!Q28</f>
        <v>6498877.6116346456</v>
      </c>
      <c r="D9" s="242">
        <f>'[1]Rozdělení financí FF 2022'!$C$9</f>
        <v>5637843.5669378294</v>
      </c>
      <c r="E9" s="212">
        <f t="shared" si="0"/>
        <v>861034.04469681624</v>
      </c>
      <c r="F9" s="159">
        <f t="shared" si="1"/>
        <v>15.272400421788987</v>
      </c>
      <c r="G9" s="289"/>
      <c r="I9" s="11"/>
    </row>
    <row r="10" spans="1:9" s="8" customFormat="1" ht="14.1" customHeight="1" x14ac:dyDescent="0.2">
      <c r="A10" s="10">
        <v>25350</v>
      </c>
      <c r="B10" s="156" t="s">
        <v>6</v>
      </c>
      <c r="C10" s="249">
        <f>Garantovana_mista_2023!M12+'Rozdělení financí FF2023 detail'!Q29</f>
        <v>5776162.0831666868</v>
      </c>
      <c r="D10" s="242">
        <f>'[1]Rozdělení financí FF 2022'!$C$10</f>
        <v>5199199.8352268152</v>
      </c>
      <c r="E10" s="212">
        <f t="shared" si="0"/>
        <v>576962.24793987162</v>
      </c>
      <c r="F10" s="159">
        <f t="shared" si="1"/>
        <v>11.097135448241545</v>
      </c>
      <c r="G10" s="289"/>
      <c r="I10" s="11"/>
    </row>
    <row r="11" spans="1:9" s="8" customFormat="1" ht="14.1" customHeight="1" x14ac:dyDescent="0.2">
      <c r="A11" s="10">
        <v>25351</v>
      </c>
      <c r="B11" s="156" t="s">
        <v>7</v>
      </c>
      <c r="C11" s="298">
        <f>Garantovana_mista_2023!M13+'Rozdělení financí FF2023 detail'!Q30</f>
        <v>5060746.1567474054</v>
      </c>
      <c r="D11" s="242">
        <f>'[1]Rozdělení financí FF 2022'!$C$11</f>
        <v>4729459.7100118445</v>
      </c>
      <c r="E11" s="212">
        <f t="shared" si="0"/>
        <v>331286.44673556089</v>
      </c>
      <c r="F11" s="159">
        <f t="shared" si="1"/>
        <v>7.0047419165926499</v>
      </c>
      <c r="G11" s="289"/>
      <c r="I11" s="11"/>
    </row>
    <row r="12" spans="1:9" s="8" customFormat="1" ht="14.1" customHeight="1" x14ac:dyDescent="0.2">
      <c r="A12" s="10">
        <v>25352</v>
      </c>
      <c r="B12" s="156" t="s">
        <v>8</v>
      </c>
      <c r="C12" s="249">
        <f>Garantovana_mista_2023!M26+'Rozdělení financí FF2023 detail'!Q31</f>
        <v>858462.10327427287</v>
      </c>
      <c r="D12" s="242">
        <f>'[1]Rozdělení financí FF 2022'!$C$12</f>
        <v>776949.96380860952</v>
      </c>
      <c r="E12" s="212">
        <f t="shared" si="0"/>
        <v>81512.139465663349</v>
      </c>
      <c r="F12" s="159">
        <f t="shared" si="1"/>
        <v>10.491298444251257</v>
      </c>
      <c r="G12" s="289"/>
      <c r="I12" s="11"/>
    </row>
    <row r="13" spans="1:9" s="8" customFormat="1" ht="14.1" customHeight="1" x14ac:dyDescent="0.2">
      <c r="A13" s="10">
        <v>25400</v>
      </c>
      <c r="B13" s="156" t="s">
        <v>9</v>
      </c>
      <c r="C13" s="249">
        <f>Garantovana_mista_2023!M14+'Rozdělení financí FF2023 detail'!Q32</f>
        <v>11028117.207562642</v>
      </c>
      <c r="D13" s="242">
        <f>'[1]Rozdělení financí FF 2022'!$C$13</f>
        <v>9633726.6873127259</v>
      </c>
      <c r="E13" s="212">
        <f t="shared" si="0"/>
        <v>1394390.5202499162</v>
      </c>
      <c r="F13" s="159">
        <f t="shared" si="1"/>
        <v>14.474051065682389</v>
      </c>
      <c r="G13" s="289"/>
      <c r="I13" s="11"/>
    </row>
    <row r="14" spans="1:9" s="8" customFormat="1" ht="14.1" customHeight="1" x14ac:dyDescent="0.2">
      <c r="A14" s="10">
        <v>25500</v>
      </c>
      <c r="B14" s="156" t="s">
        <v>10</v>
      </c>
      <c r="C14" s="249">
        <f>Garantovana_mista_2023!M15+'Rozdělení financí FF2023 detail'!Q33</f>
        <v>9385429.9179496393</v>
      </c>
      <c r="D14" s="242">
        <f>'[1]Rozdělení financí FF 2022'!$C$14</f>
        <v>8770747.1422393583</v>
      </c>
      <c r="E14" s="212">
        <f t="shared" si="0"/>
        <v>614682.77571028098</v>
      </c>
      <c r="F14" s="159">
        <f t="shared" si="1"/>
        <v>7.0083285464930185</v>
      </c>
      <c r="G14" s="289"/>
      <c r="I14" s="11"/>
    </row>
    <row r="15" spans="1:9" s="8" customFormat="1" ht="14.1" customHeight="1" x14ac:dyDescent="0.2">
      <c r="A15" s="10">
        <v>25600</v>
      </c>
      <c r="B15" s="156" t="s">
        <v>11</v>
      </c>
      <c r="C15" s="249">
        <f>Garantovana_mista_2023!M16+'Rozdělení financí FF2023 detail'!Q34</f>
        <v>8016930.4236304658</v>
      </c>
      <c r="D15" s="242">
        <f>'[1]Rozdělení financí FF 2022'!$C$15</f>
        <v>7509040.5515827471</v>
      </c>
      <c r="E15" s="212">
        <f t="shared" si="0"/>
        <v>507889.87204771861</v>
      </c>
      <c r="F15" s="159">
        <f t="shared" si="1"/>
        <v>6.7637119357501092</v>
      </c>
      <c r="G15" s="289"/>
      <c r="I15" s="11"/>
    </row>
    <row r="16" spans="1:9" s="8" customFormat="1" ht="14.1" customHeight="1" x14ac:dyDescent="0.2">
      <c r="A16" s="10">
        <v>25610</v>
      </c>
      <c r="B16" s="156" t="s">
        <v>12</v>
      </c>
      <c r="C16" s="249">
        <f>Garantovana_mista_2023!M27+'Rozdělení financí FF2023 detail'!Q35</f>
        <v>291333.95539699472</v>
      </c>
      <c r="D16" s="242">
        <f>'[1]Rozdělení financí FF 2022'!$C$16</f>
        <v>263158.26365091355</v>
      </c>
      <c r="E16" s="212">
        <f t="shared" si="0"/>
        <v>28175.691746081167</v>
      </c>
      <c r="F16" s="159">
        <f t="shared" si="1"/>
        <v>10.706747854005059</v>
      </c>
      <c r="G16" s="289"/>
      <c r="I16" s="11"/>
    </row>
    <row r="17" spans="1:9" s="8" customFormat="1" ht="14.1" customHeight="1" x14ac:dyDescent="0.2">
      <c r="A17" s="10">
        <v>25700</v>
      </c>
      <c r="B17" s="156" t="s">
        <v>13</v>
      </c>
      <c r="C17" s="249">
        <f>Garantovana_mista_2023!M17+'Rozdělení financí FF2023 detail'!Q36</f>
        <v>6194385.7712393021</v>
      </c>
      <c r="D17" s="242">
        <f>'[1]Rozdělení financí FF 2022'!$C$17</f>
        <v>5541727.7481867103</v>
      </c>
      <c r="E17" s="212">
        <f t="shared" si="0"/>
        <v>652658.02305259183</v>
      </c>
      <c r="F17" s="159">
        <f t="shared" si="1"/>
        <v>11.77715782349911</v>
      </c>
      <c r="G17" s="289"/>
      <c r="I17" s="11"/>
    </row>
    <row r="18" spans="1:9" s="8" customFormat="1" ht="14.1" customHeight="1" x14ac:dyDescent="0.2">
      <c r="A18" s="10">
        <v>25800</v>
      </c>
      <c r="B18" s="156" t="s">
        <v>14</v>
      </c>
      <c r="C18" s="298">
        <f>Garantovana_mista_2023!M18+'Rozdělení financí FF2023 detail'!Q37</f>
        <v>8361409.3654703191</v>
      </c>
      <c r="D18" s="242">
        <f>'[1]Rozdělení financí FF 2022'!$C$18</f>
        <v>7570422.6554293567</v>
      </c>
      <c r="E18" s="212">
        <f t="shared" si="0"/>
        <v>790986.71004096232</v>
      </c>
      <c r="F18" s="159">
        <f t="shared" si="1"/>
        <v>10.448382422528056</v>
      </c>
      <c r="G18" s="289"/>
      <c r="I18" s="11"/>
    </row>
    <row r="19" spans="1:9" s="8" customFormat="1" ht="14.1" customHeight="1" x14ac:dyDescent="0.2">
      <c r="A19" s="10">
        <v>25810</v>
      </c>
      <c r="B19" s="156" t="s">
        <v>15</v>
      </c>
      <c r="C19" s="249">
        <f>Garantovana_mista_2023!M19+'Rozdělení financí FF2023 detail'!Q38</f>
        <v>3535016.8520138189</v>
      </c>
      <c r="D19" s="242">
        <f>'[1]Rozdělení financí FF 2022'!$C$19</f>
        <v>3357672.7132333894</v>
      </c>
      <c r="E19" s="212">
        <f t="shared" si="0"/>
        <v>177344.13878042949</v>
      </c>
      <c r="F19" s="159">
        <f t="shared" si="1"/>
        <v>5.281757750881269</v>
      </c>
      <c r="G19" s="289"/>
      <c r="I19" s="11"/>
    </row>
    <row r="20" spans="1:9" s="8" customFormat="1" ht="14.1" customHeight="1" x14ac:dyDescent="0.2">
      <c r="A20" s="10">
        <v>25820</v>
      </c>
      <c r="B20" s="156" t="s">
        <v>16</v>
      </c>
      <c r="C20" s="249">
        <f>Garantovana_mista_2023!M28+'Rozdělení financí FF2023 detail'!Q39</f>
        <v>1889555.8342492406</v>
      </c>
      <c r="D20" s="242">
        <f>'[1]Rozdělení financí FF 2022'!$C$20</f>
        <v>1682928.377406046</v>
      </c>
      <c r="E20" s="212">
        <f t="shared" si="0"/>
        <v>206627.45684319455</v>
      </c>
      <c r="F20" s="159">
        <f t="shared" si="1"/>
        <v>12.277852083145461</v>
      </c>
      <c r="G20" s="289"/>
      <c r="I20" s="11"/>
    </row>
    <row r="21" spans="1:9" s="8" customFormat="1" ht="14.1" customHeight="1" thickBot="1" x14ac:dyDescent="0.25">
      <c r="A21" s="12">
        <v>25830</v>
      </c>
      <c r="B21" s="157" t="s">
        <v>66</v>
      </c>
      <c r="C21" s="250">
        <f>Garantovana_mista_2023!M29+'Rozdělení financí FF2023 detail'!Q40</f>
        <v>383130.67054893717</v>
      </c>
      <c r="D21" s="244">
        <f>'[1]Rozdělení financí FF 2022'!$C$21</f>
        <v>311790.95570845995</v>
      </c>
      <c r="E21" s="213">
        <f t="shared" si="0"/>
        <v>71339.714840477216</v>
      </c>
      <c r="F21" s="210">
        <f t="shared" si="1"/>
        <v>22.880623550602095</v>
      </c>
      <c r="G21" s="193"/>
      <c r="I21" s="11"/>
    </row>
    <row r="22" spans="1:9" s="8" customFormat="1" ht="14.1" customHeight="1" thickTop="1" thickBot="1" x14ac:dyDescent="0.25">
      <c r="A22" s="13">
        <v>25000</v>
      </c>
      <c r="B22" s="158" t="s">
        <v>17</v>
      </c>
      <c r="C22" s="248">
        <f>C4+C5+C6+C9+C10+C11+C12+C13+C14+C15+C16+C17+C18+C19+C20+C21</f>
        <v>90250733.264399976</v>
      </c>
      <c r="D22" s="245">
        <f>D4+D5+D6+D9+D10+D11+D12+D13+D14+D15+D16+D17+D18+D19+D20+D21</f>
        <v>81196018.042400017</v>
      </c>
      <c r="E22" s="214">
        <f>SUM(E4:E21)-E7-E8</f>
        <v>9054715.2219999954</v>
      </c>
      <c r="F22" s="215">
        <f t="shared" si="1"/>
        <v>11.151673986366717</v>
      </c>
      <c r="G22" s="193"/>
      <c r="I22" s="11"/>
    </row>
    <row r="23" spans="1:9" ht="14.1" customHeight="1" x14ac:dyDescent="0.2">
      <c r="C23" s="193"/>
    </row>
    <row r="24" spans="1:9" s="8" customFormat="1" ht="11.25" x14ac:dyDescent="0.2">
      <c r="G24" s="193"/>
    </row>
    <row r="25" spans="1:9" s="8" customFormat="1" ht="11.25" x14ac:dyDescent="0.2">
      <c r="A25" s="114"/>
      <c r="G25" s="193"/>
    </row>
    <row r="26" spans="1:9" s="8" customFormat="1" ht="11.25" x14ac:dyDescent="0.2">
      <c r="A26" s="114"/>
      <c r="G26" s="193"/>
    </row>
    <row r="27" spans="1:9" s="8" customFormat="1" ht="11.25" x14ac:dyDescent="0.2">
      <c r="G27" s="193"/>
    </row>
    <row r="28" spans="1:9" s="8" customFormat="1" ht="11.25" x14ac:dyDescent="0.2">
      <c r="G28" s="193"/>
    </row>
    <row r="29" spans="1:9" s="8" customFormat="1" ht="11.25" x14ac:dyDescent="0.2">
      <c r="G29" s="193"/>
    </row>
    <row r="30" spans="1:9" s="8" customFormat="1" ht="11.25" x14ac:dyDescent="0.2">
      <c r="G30" s="193"/>
    </row>
    <row r="31" spans="1:9" s="8" customFormat="1" ht="11.25" x14ac:dyDescent="0.2">
      <c r="G31" s="193"/>
    </row>
    <row r="32" spans="1:9" s="8" customFormat="1" ht="11.25" x14ac:dyDescent="0.2">
      <c r="G32" s="193"/>
    </row>
  </sheetData>
  <pageMargins left="0.70866141732283472" right="0.70866141732283472" top="0.74803149606299213" bottom="0.74803149606299213" header="0.31496062992125984" footer="0.31496062992125984"/>
  <pageSetup paperSize="9" scale="94" orientation="landscape" r:id="rId1"/>
  <headerFooter>
    <oddFooter>&amp;C&amp;8&amp;A&amp;R&amp;8&amp;F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O29"/>
  <sheetViews>
    <sheetView zoomScaleNormal="100" workbookViewId="0"/>
  </sheetViews>
  <sheetFormatPr defaultRowHeight="12.75" x14ac:dyDescent="0.2"/>
  <cols>
    <col min="1" max="1" width="10.28515625" customWidth="1"/>
    <col min="2" max="2" width="40.42578125" customWidth="1"/>
    <col min="15" max="15" width="14.5703125" customWidth="1"/>
  </cols>
  <sheetData>
    <row r="1" spans="1:15" ht="15" x14ac:dyDescent="0.25">
      <c r="A1" s="101" t="s">
        <v>427</v>
      </c>
    </row>
    <row r="3" spans="1:15" ht="15" x14ac:dyDescent="0.25">
      <c r="A3" s="101"/>
    </row>
    <row r="4" spans="1:15" x14ac:dyDescent="0.2">
      <c r="A4" s="1428" t="s">
        <v>0</v>
      </c>
      <c r="B4" s="1430" t="s">
        <v>1</v>
      </c>
      <c r="C4" s="89"/>
      <c r="D4" s="89"/>
    </row>
    <row r="5" spans="1:15" ht="33.75" x14ac:dyDescent="0.2">
      <c r="A5" s="1428"/>
      <c r="B5" s="1430"/>
      <c r="C5" s="476" t="s">
        <v>294</v>
      </c>
      <c r="D5" s="477" t="s">
        <v>207</v>
      </c>
    </row>
    <row r="6" spans="1:15" ht="13.5" thickBot="1" x14ac:dyDescent="0.25">
      <c r="A6" s="1429"/>
      <c r="B6" s="1412"/>
      <c r="C6" s="478"/>
      <c r="D6" s="478"/>
      <c r="G6" s="695" t="s">
        <v>295</v>
      </c>
      <c r="H6" s="695" t="s">
        <v>296</v>
      </c>
      <c r="I6" s="695" t="s">
        <v>297</v>
      </c>
      <c r="J6" s="695" t="s">
        <v>302</v>
      </c>
      <c r="K6" s="695" t="s">
        <v>303</v>
      </c>
      <c r="L6" s="695" t="s">
        <v>17</v>
      </c>
      <c r="M6" s="695" t="s">
        <v>298</v>
      </c>
    </row>
    <row r="7" spans="1:15" ht="13.5" thickTop="1" x14ac:dyDescent="0.2">
      <c r="A7" s="95">
        <v>25100</v>
      </c>
      <c r="B7" s="155" t="s">
        <v>2</v>
      </c>
      <c r="C7" s="967">
        <f t="shared" ref="C7:C24" si="0">L7*M7</f>
        <v>87</v>
      </c>
      <c r="D7" s="469">
        <f>C7*100/$C$25</f>
        <v>5.1179322781788441</v>
      </c>
      <c r="F7" s="696" t="s">
        <v>87</v>
      </c>
      <c r="G7" s="973">
        <v>40</v>
      </c>
      <c r="H7" s="973">
        <v>36</v>
      </c>
      <c r="I7" s="973">
        <v>36</v>
      </c>
      <c r="J7" s="973">
        <v>18</v>
      </c>
      <c r="K7" s="1394">
        <v>44</v>
      </c>
      <c r="L7" s="973">
        <f>SUM(G7:K7)</f>
        <v>174</v>
      </c>
      <c r="M7" s="1403">
        <v>0.5</v>
      </c>
      <c r="N7" s="696" t="s">
        <v>87</v>
      </c>
      <c r="O7" s="977">
        <f>L7*M7</f>
        <v>87</v>
      </c>
    </row>
    <row r="8" spans="1:15" x14ac:dyDescent="0.2">
      <c r="A8" s="96">
        <v>25150</v>
      </c>
      <c r="B8" s="156" t="s">
        <v>3</v>
      </c>
      <c r="C8" s="968">
        <f t="shared" si="0"/>
        <v>32.929569999999998</v>
      </c>
      <c r="D8" s="471">
        <f t="shared" ref="D8:D24" si="1">C8*100/$C$25</f>
        <v>1.9371414851672379</v>
      </c>
      <c r="F8" s="696" t="s">
        <v>88</v>
      </c>
      <c r="G8" s="973">
        <v>14</v>
      </c>
      <c r="H8" s="973">
        <v>14</v>
      </c>
      <c r="I8" s="973">
        <v>10</v>
      </c>
      <c r="J8" s="973">
        <v>5.67</v>
      </c>
      <c r="K8" s="1394">
        <v>14</v>
      </c>
      <c r="L8" s="973">
        <f>SUM(G8:K8)</f>
        <v>57.67</v>
      </c>
      <c r="M8" s="1403">
        <v>0.57099999999999995</v>
      </c>
      <c r="N8" s="696" t="s">
        <v>88</v>
      </c>
      <c r="O8" s="977">
        <f>L8*M8</f>
        <v>32.929569999999998</v>
      </c>
    </row>
    <row r="9" spans="1:15" x14ac:dyDescent="0.2">
      <c r="A9" s="96">
        <v>25200</v>
      </c>
      <c r="B9" s="156" t="s">
        <v>4</v>
      </c>
      <c r="C9" s="968">
        <f t="shared" si="0"/>
        <v>307.81848999999994</v>
      </c>
      <c r="D9" s="471">
        <f t="shared" si="1"/>
        <v>18.107979147026107</v>
      </c>
      <c r="F9" s="696" t="s">
        <v>102</v>
      </c>
      <c r="G9" s="973">
        <v>86</v>
      </c>
      <c r="H9" s="973">
        <v>80</v>
      </c>
      <c r="I9" s="973">
        <v>74</v>
      </c>
      <c r="J9" s="973">
        <v>53.53</v>
      </c>
      <c r="K9" s="1394">
        <v>76</v>
      </c>
      <c r="L9" s="973">
        <f>SUM(G9:K9)</f>
        <v>369.53</v>
      </c>
      <c r="M9" s="1403">
        <v>0.83299999999999996</v>
      </c>
      <c r="N9" s="696" t="s">
        <v>102</v>
      </c>
      <c r="O9" s="977">
        <f>L9*M9</f>
        <v>307.81848999999994</v>
      </c>
    </row>
    <row r="10" spans="1:15" s="405" customFormat="1" hidden="1" x14ac:dyDescent="0.2">
      <c r="A10" s="220"/>
      <c r="B10" s="217" t="s">
        <v>117</v>
      </c>
      <c r="C10" s="972">
        <f t="shared" si="0"/>
        <v>129.94800000000001</v>
      </c>
      <c r="D10" s="473">
        <f t="shared" si="1"/>
        <v>7.6444260193653388</v>
      </c>
      <c r="F10" s="345" t="s">
        <v>119</v>
      </c>
      <c r="G10" s="974">
        <v>28</v>
      </c>
      <c r="H10" s="974">
        <v>25</v>
      </c>
      <c r="I10" s="974">
        <v>36</v>
      </c>
      <c r="J10" s="974">
        <v>28</v>
      </c>
      <c r="K10" s="1395">
        <v>39</v>
      </c>
      <c r="L10" s="975">
        <f t="shared" ref="L10:L11" si="2">SUM(G10:K10)</f>
        <v>156</v>
      </c>
      <c r="M10" s="1398">
        <v>0.83299999999999996</v>
      </c>
      <c r="N10" s="345" t="s">
        <v>119</v>
      </c>
      <c r="O10" s="977">
        <f t="shared" ref="O10:O11" si="3">L10*M10</f>
        <v>129.94800000000001</v>
      </c>
    </row>
    <row r="11" spans="1:15" s="405" customFormat="1" hidden="1" x14ac:dyDescent="0.2">
      <c r="A11" s="220"/>
      <c r="B11" s="217" t="s">
        <v>118</v>
      </c>
      <c r="C11" s="972">
        <f t="shared" si="0"/>
        <v>169.54049000000001</v>
      </c>
      <c r="D11" s="473">
        <f t="shared" si="1"/>
        <v>9.9735258187270972</v>
      </c>
      <c r="F11" s="345" t="s">
        <v>120</v>
      </c>
      <c r="G11" s="974">
        <v>58</v>
      </c>
      <c r="H11" s="974">
        <v>55</v>
      </c>
      <c r="I11" s="974">
        <v>38</v>
      </c>
      <c r="J11" s="974">
        <v>25.53</v>
      </c>
      <c r="K11" s="1395">
        <v>27</v>
      </c>
      <c r="L11" s="975">
        <f t="shared" si="2"/>
        <v>203.53</v>
      </c>
      <c r="M11" s="1398">
        <v>0.83299999999999996</v>
      </c>
      <c r="N11" s="345" t="s">
        <v>120</v>
      </c>
      <c r="O11" s="977">
        <f t="shared" si="3"/>
        <v>169.54049000000001</v>
      </c>
    </row>
    <row r="12" spans="1:15" x14ac:dyDescent="0.2">
      <c r="A12" s="96">
        <v>25300</v>
      </c>
      <c r="B12" s="156" t="s">
        <v>5</v>
      </c>
      <c r="C12" s="968">
        <f t="shared" si="0"/>
        <v>87.3</v>
      </c>
      <c r="D12" s="471">
        <f t="shared" si="1"/>
        <v>5.1355803205173913</v>
      </c>
      <c r="F12" s="696" t="s">
        <v>177</v>
      </c>
      <c r="G12" s="973">
        <v>22</v>
      </c>
      <c r="H12" s="973">
        <v>20</v>
      </c>
      <c r="I12" s="973">
        <v>18</v>
      </c>
      <c r="J12" s="973">
        <v>12.3</v>
      </c>
      <c r="K12" s="1394">
        <v>15</v>
      </c>
      <c r="L12" s="973">
        <f t="shared" ref="L12:L24" si="4">SUM(G12:K12)</f>
        <v>87.3</v>
      </c>
      <c r="M12" s="1403">
        <v>1</v>
      </c>
      <c r="N12" s="696" t="s">
        <v>177</v>
      </c>
      <c r="O12" s="977">
        <f t="shared" ref="O12:O24" si="5">L12*M12</f>
        <v>87.3</v>
      </c>
    </row>
    <row r="13" spans="1:15" x14ac:dyDescent="0.2">
      <c r="A13" s="96">
        <v>25350</v>
      </c>
      <c r="B13" s="156" t="s">
        <v>6</v>
      </c>
      <c r="C13" s="968">
        <f t="shared" si="0"/>
        <v>140.25</v>
      </c>
      <c r="D13" s="471">
        <f t="shared" si="1"/>
        <v>8.2504597932710677</v>
      </c>
      <c r="F13" s="696" t="s">
        <v>176</v>
      </c>
      <c r="G13" s="973">
        <v>52</v>
      </c>
      <c r="H13" s="973">
        <v>50</v>
      </c>
      <c r="I13" s="973">
        <v>42</v>
      </c>
      <c r="J13" s="973">
        <v>23</v>
      </c>
      <c r="K13" s="1394">
        <v>20</v>
      </c>
      <c r="L13" s="973">
        <f t="shared" si="4"/>
        <v>187</v>
      </c>
      <c r="M13" s="1403">
        <v>0.75</v>
      </c>
      <c r="N13" s="696" t="s">
        <v>176</v>
      </c>
      <c r="O13" s="977">
        <f t="shared" si="5"/>
        <v>140.25</v>
      </c>
    </row>
    <row r="14" spans="1:15" x14ac:dyDescent="0.2">
      <c r="A14" s="96">
        <v>25351</v>
      </c>
      <c r="B14" s="156" t="s">
        <v>7</v>
      </c>
      <c r="C14" s="968">
        <f t="shared" si="0"/>
        <v>69.901600000000002</v>
      </c>
      <c r="D14" s="471">
        <f t="shared" si="1"/>
        <v>4.1120879877740952</v>
      </c>
      <c r="F14" s="696" t="s">
        <v>91</v>
      </c>
      <c r="G14" s="973">
        <v>25</v>
      </c>
      <c r="H14" s="973">
        <v>28</v>
      </c>
      <c r="I14" s="973">
        <v>26</v>
      </c>
      <c r="J14" s="973">
        <v>15.8</v>
      </c>
      <c r="K14" s="1394">
        <v>10</v>
      </c>
      <c r="L14" s="973">
        <f t="shared" si="4"/>
        <v>104.8</v>
      </c>
      <c r="M14" s="1403">
        <v>0.66700000000000004</v>
      </c>
      <c r="N14" s="696" t="s">
        <v>91</v>
      </c>
      <c r="O14" s="977">
        <f t="shared" si="5"/>
        <v>69.901600000000002</v>
      </c>
    </row>
    <row r="15" spans="1:15" x14ac:dyDescent="0.2">
      <c r="A15" s="96">
        <v>25352</v>
      </c>
      <c r="B15" s="156" t="s">
        <v>8</v>
      </c>
      <c r="C15" s="968">
        <f t="shared" si="0"/>
        <v>42.2</v>
      </c>
      <c r="D15" s="471">
        <f t="shared" si="1"/>
        <v>2.4824912889557149</v>
      </c>
      <c r="F15" s="696" t="s">
        <v>62</v>
      </c>
      <c r="G15" s="973">
        <v>6</v>
      </c>
      <c r="H15" s="973">
        <v>6</v>
      </c>
      <c r="I15" s="973">
        <v>12</v>
      </c>
      <c r="J15" s="973">
        <v>14.2</v>
      </c>
      <c r="K15" s="1394">
        <v>4</v>
      </c>
      <c r="L15" s="973">
        <f t="shared" si="4"/>
        <v>42.2</v>
      </c>
      <c r="M15" s="1403">
        <v>1</v>
      </c>
      <c r="N15" s="696" t="s">
        <v>62</v>
      </c>
      <c r="O15" s="977">
        <f t="shared" si="5"/>
        <v>42.2</v>
      </c>
    </row>
    <row r="16" spans="1:15" x14ac:dyDescent="0.2">
      <c r="A16" s="96">
        <v>25400</v>
      </c>
      <c r="B16" s="156" t="s">
        <v>9</v>
      </c>
      <c r="C16" s="968">
        <f t="shared" si="0"/>
        <v>17.787000000000003</v>
      </c>
      <c r="D16" s="471">
        <f t="shared" si="1"/>
        <v>1.0463524302524956</v>
      </c>
      <c r="F16" s="696" t="s">
        <v>92</v>
      </c>
      <c r="G16" s="973">
        <v>14</v>
      </c>
      <c r="H16" s="973">
        <v>12</v>
      </c>
      <c r="I16" s="973">
        <v>14</v>
      </c>
      <c r="J16" s="973">
        <v>29</v>
      </c>
      <c r="K16" s="1394">
        <v>8</v>
      </c>
      <c r="L16" s="973">
        <f t="shared" si="4"/>
        <v>77</v>
      </c>
      <c r="M16" s="1403">
        <v>0.23100000000000001</v>
      </c>
      <c r="N16" s="696" t="s">
        <v>92</v>
      </c>
      <c r="O16" s="977">
        <f t="shared" si="5"/>
        <v>17.787000000000003</v>
      </c>
    </row>
    <row r="17" spans="1:15" x14ac:dyDescent="0.2">
      <c r="A17" s="96">
        <v>25500</v>
      </c>
      <c r="B17" s="156" t="s">
        <v>10</v>
      </c>
      <c r="C17" s="968">
        <f t="shared" si="0"/>
        <v>99.744399999999985</v>
      </c>
      <c r="D17" s="471">
        <f t="shared" si="1"/>
        <v>5.8676446474434689</v>
      </c>
      <c r="F17" s="696" t="s">
        <v>93</v>
      </c>
      <c r="G17" s="973">
        <v>25</v>
      </c>
      <c r="H17" s="973">
        <v>24</v>
      </c>
      <c r="I17" s="973">
        <v>30</v>
      </c>
      <c r="J17" s="973">
        <v>32.200000000000003</v>
      </c>
      <c r="K17" s="1394">
        <v>26</v>
      </c>
      <c r="L17" s="973">
        <f t="shared" si="4"/>
        <v>137.19999999999999</v>
      </c>
      <c r="M17" s="1403">
        <v>0.72699999999999998</v>
      </c>
      <c r="N17" s="696" t="s">
        <v>93</v>
      </c>
      <c r="O17" s="977">
        <f t="shared" si="5"/>
        <v>99.744399999999985</v>
      </c>
    </row>
    <row r="18" spans="1:15" x14ac:dyDescent="0.2">
      <c r="A18" s="96">
        <v>25600</v>
      </c>
      <c r="B18" s="156" t="s">
        <v>11</v>
      </c>
      <c r="C18" s="968">
        <f t="shared" si="0"/>
        <v>99.411999999999992</v>
      </c>
      <c r="D18" s="471">
        <f t="shared" si="1"/>
        <v>5.8480906165323585</v>
      </c>
      <c r="F18" s="696" t="s">
        <v>94</v>
      </c>
      <c r="G18" s="973">
        <v>20</v>
      </c>
      <c r="H18" s="973">
        <v>20</v>
      </c>
      <c r="I18" s="973">
        <v>28</v>
      </c>
      <c r="J18" s="973">
        <v>30</v>
      </c>
      <c r="K18" s="1394">
        <v>18</v>
      </c>
      <c r="L18" s="973">
        <f t="shared" si="4"/>
        <v>116</v>
      </c>
      <c r="M18" s="1403">
        <v>0.85699999999999998</v>
      </c>
      <c r="N18" s="696" t="s">
        <v>94</v>
      </c>
      <c r="O18" s="977">
        <f t="shared" si="5"/>
        <v>99.411999999999992</v>
      </c>
    </row>
    <row r="19" spans="1:15" x14ac:dyDescent="0.2">
      <c r="A19" s="96">
        <v>25610</v>
      </c>
      <c r="B19" s="156" t="s">
        <v>12</v>
      </c>
      <c r="C19" s="968">
        <f t="shared" si="0"/>
        <v>28</v>
      </c>
      <c r="D19" s="471">
        <f t="shared" si="1"/>
        <v>1.6471506182644555</v>
      </c>
      <c r="F19" s="696" t="s">
        <v>63</v>
      </c>
      <c r="G19" s="973">
        <v>9</v>
      </c>
      <c r="H19" s="973">
        <v>9</v>
      </c>
      <c r="I19" s="973">
        <v>4</v>
      </c>
      <c r="J19" s="973">
        <v>4</v>
      </c>
      <c r="K19" s="1394">
        <v>2</v>
      </c>
      <c r="L19" s="973">
        <f t="shared" si="4"/>
        <v>28</v>
      </c>
      <c r="M19" s="1403">
        <v>1</v>
      </c>
      <c r="N19" s="696" t="s">
        <v>63</v>
      </c>
      <c r="O19" s="977">
        <f t="shared" si="5"/>
        <v>28</v>
      </c>
    </row>
    <row r="20" spans="1:15" x14ac:dyDescent="0.2">
      <c r="A20" s="96">
        <v>25700</v>
      </c>
      <c r="B20" s="156" t="s">
        <v>13</v>
      </c>
      <c r="C20" s="968">
        <f t="shared" si="0"/>
        <v>67.68719999999999</v>
      </c>
      <c r="D20" s="471">
        <f t="shared" si="1"/>
        <v>3.9818219045924943</v>
      </c>
      <c r="F20" s="696" t="s">
        <v>95</v>
      </c>
      <c r="G20" s="973">
        <v>26</v>
      </c>
      <c r="H20" s="973">
        <v>25</v>
      </c>
      <c r="I20" s="973">
        <v>10</v>
      </c>
      <c r="J20" s="973">
        <v>21.8</v>
      </c>
      <c r="K20" s="1394">
        <v>12</v>
      </c>
      <c r="L20" s="973">
        <f t="shared" si="4"/>
        <v>94.8</v>
      </c>
      <c r="M20" s="1403">
        <v>0.71399999999999997</v>
      </c>
      <c r="N20" s="696" t="s">
        <v>95</v>
      </c>
      <c r="O20" s="977">
        <f t="shared" si="5"/>
        <v>67.68719999999999</v>
      </c>
    </row>
    <row r="21" spans="1:15" x14ac:dyDescent="0.2">
      <c r="A21" s="96">
        <v>25800</v>
      </c>
      <c r="B21" s="156" t="s">
        <v>14</v>
      </c>
      <c r="C21" s="968">
        <f t="shared" si="0"/>
        <v>367.33</v>
      </c>
      <c r="D21" s="471">
        <f t="shared" si="1"/>
        <v>21.608851307395803</v>
      </c>
      <c r="F21" s="696" t="s">
        <v>96</v>
      </c>
      <c r="G21" s="973">
        <v>94</v>
      </c>
      <c r="H21" s="973">
        <v>90</v>
      </c>
      <c r="I21" s="973">
        <v>61.33</v>
      </c>
      <c r="J21" s="973">
        <v>66</v>
      </c>
      <c r="K21" s="1394">
        <v>56</v>
      </c>
      <c r="L21" s="973">
        <f t="shared" si="4"/>
        <v>367.33</v>
      </c>
      <c r="M21" s="1403">
        <v>1</v>
      </c>
      <c r="N21" s="696" t="s">
        <v>96</v>
      </c>
      <c r="O21" s="977">
        <f t="shared" si="5"/>
        <v>367.33</v>
      </c>
    </row>
    <row r="22" spans="1:15" x14ac:dyDescent="0.2">
      <c r="A22" s="96">
        <v>25810</v>
      </c>
      <c r="B22" s="156" t="s">
        <v>15</v>
      </c>
      <c r="C22" s="968">
        <f t="shared" si="0"/>
        <v>36.674999999999997</v>
      </c>
      <c r="D22" s="471">
        <f t="shared" si="1"/>
        <v>2.1574731758874606</v>
      </c>
      <c r="F22" s="696" t="s">
        <v>97</v>
      </c>
      <c r="G22" s="973">
        <v>8</v>
      </c>
      <c r="H22" s="973">
        <v>8</v>
      </c>
      <c r="I22" s="973">
        <v>0</v>
      </c>
      <c r="J22" s="973">
        <v>18.899999999999999</v>
      </c>
      <c r="K22" s="1394">
        <v>14</v>
      </c>
      <c r="L22" s="973">
        <f t="shared" si="4"/>
        <v>48.9</v>
      </c>
      <c r="M22" s="1403">
        <v>0.75</v>
      </c>
      <c r="N22" s="696" t="s">
        <v>97</v>
      </c>
      <c r="O22" s="977">
        <f t="shared" si="5"/>
        <v>36.674999999999997</v>
      </c>
    </row>
    <row r="23" spans="1:15" x14ac:dyDescent="0.2">
      <c r="A23" s="96">
        <v>25820</v>
      </c>
      <c r="B23" s="156" t="s">
        <v>16</v>
      </c>
      <c r="C23" s="968">
        <f t="shared" si="0"/>
        <v>183.87</v>
      </c>
      <c r="D23" s="471">
        <f t="shared" si="1"/>
        <v>10.816485149295909</v>
      </c>
      <c r="F23" s="696" t="s">
        <v>64</v>
      </c>
      <c r="G23" s="973">
        <v>43</v>
      </c>
      <c r="H23" s="973">
        <v>40</v>
      </c>
      <c r="I23" s="973">
        <v>44.67</v>
      </c>
      <c r="J23" s="973">
        <v>27.2</v>
      </c>
      <c r="K23" s="1394">
        <v>29</v>
      </c>
      <c r="L23" s="973">
        <f t="shared" si="4"/>
        <v>183.87</v>
      </c>
      <c r="M23" s="1403">
        <v>1</v>
      </c>
      <c r="N23" s="696" t="s">
        <v>64</v>
      </c>
      <c r="O23" s="977">
        <f t="shared" si="5"/>
        <v>183.87</v>
      </c>
    </row>
    <row r="24" spans="1:15" ht="13.5" thickBot="1" x14ac:dyDescent="0.25">
      <c r="A24" s="97">
        <v>25830</v>
      </c>
      <c r="B24" s="294" t="s">
        <v>66</v>
      </c>
      <c r="C24" s="970">
        <f t="shared" si="0"/>
        <v>32</v>
      </c>
      <c r="D24" s="475">
        <f t="shared" si="1"/>
        <v>1.8824578494450921</v>
      </c>
      <c r="F24" s="696" t="s">
        <v>299</v>
      </c>
      <c r="G24" s="973">
        <v>0</v>
      </c>
      <c r="H24" s="973">
        <v>4</v>
      </c>
      <c r="I24" s="973">
        <v>0</v>
      </c>
      <c r="J24" s="973">
        <v>10</v>
      </c>
      <c r="K24" s="1394">
        <v>18</v>
      </c>
      <c r="L24" s="973">
        <f t="shared" si="4"/>
        <v>32</v>
      </c>
      <c r="M24" s="1403">
        <v>1</v>
      </c>
      <c r="N24" s="696" t="s">
        <v>299</v>
      </c>
      <c r="O24" s="977">
        <f t="shared" si="5"/>
        <v>32</v>
      </c>
    </row>
    <row r="25" spans="1:15" ht="13.5" thickTop="1" x14ac:dyDescent="0.2">
      <c r="A25" s="98">
        <v>25000</v>
      </c>
      <c r="B25" s="160" t="s">
        <v>17</v>
      </c>
      <c r="C25" s="971">
        <f>SUM(C7:C24)-C10-C11</f>
        <v>1699.90526</v>
      </c>
      <c r="D25" s="480">
        <f>SUM(D7:D24)-D10-D11</f>
        <v>100</v>
      </c>
      <c r="G25" s="976">
        <f t="shared" ref="G25:K25" si="6">SUM(G7:G24)-G10-G11</f>
        <v>484</v>
      </c>
      <c r="H25" s="976">
        <f t="shared" si="6"/>
        <v>466</v>
      </c>
      <c r="I25" s="976">
        <f t="shared" si="6"/>
        <v>410</v>
      </c>
      <c r="J25" s="976">
        <f t="shared" si="6"/>
        <v>381.6</v>
      </c>
      <c r="K25" s="976">
        <f t="shared" si="6"/>
        <v>366</v>
      </c>
      <c r="L25" s="976">
        <f>SUM(L7:L24)-L10-L11</f>
        <v>2107.6</v>
      </c>
      <c r="O25" s="976">
        <f>SUM(O7:O24)-O10-O11</f>
        <v>1699.90526</v>
      </c>
    </row>
    <row r="29" spans="1:15" x14ac:dyDescent="0.2">
      <c r="F29" s="696"/>
      <c r="G29" s="961"/>
      <c r="H29" s="961"/>
      <c r="I29" s="961"/>
      <c r="J29" s="961"/>
      <c r="K29" s="961"/>
      <c r="L29" s="961"/>
      <c r="M29" s="75"/>
      <c r="O29" s="346"/>
    </row>
  </sheetData>
  <mergeCells count="2">
    <mergeCell ref="A4:A6"/>
    <mergeCell ref="B4:B6"/>
  </mergeCells>
  <pageMargins left="0.7" right="0.7" top="0.78740157499999996" bottom="0.78740157499999996" header="0.3" footer="0.3"/>
  <pageSetup paperSize="9" scale="7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V29"/>
  <sheetViews>
    <sheetView zoomScaleNormal="100" workbookViewId="0"/>
  </sheetViews>
  <sheetFormatPr defaultRowHeight="12.75" x14ac:dyDescent="0.2"/>
  <cols>
    <col min="1" max="1" width="10.28515625" customWidth="1"/>
    <col min="2" max="2" width="40.42578125" customWidth="1"/>
    <col min="6" max="13" width="8.7109375" customWidth="1"/>
    <col min="15" max="15" width="14.5703125" customWidth="1"/>
  </cols>
  <sheetData>
    <row r="1" spans="1:13" ht="15" x14ac:dyDescent="0.25">
      <c r="A1" s="101" t="s">
        <v>428</v>
      </c>
    </row>
    <row r="3" spans="1:13" ht="15" x14ac:dyDescent="0.25">
      <c r="A3" s="101"/>
    </row>
    <row r="4" spans="1:13" x14ac:dyDescent="0.2">
      <c r="A4" s="1428" t="s">
        <v>0</v>
      </c>
      <c r="B4" s="1430" t="s">
        <v>1</v>
      </c>
      <c r="C4" s="404"/>
      <c r="D4" s="404"/>
    </row>
    <row r="5" spans="1:13" x14ac:dyDescent="0.2">
      <c r="A5" s="1428"/>
      <c r="B5" s="1430"/>
      <c r="C5" s="481" t="s">
        <v>301</v>
      </c>
      <c r="D5" s="481" t="s">
        <v>156</v>
      </c>
    </row>
    <row r="6" spans="1:13" ht="13.5" thickBot="1" x14ac:dyDescent="0.25">
      <c r="A6" s="1429"/>
      <c r="B6" s="1412"/>
      <c r="C6" s="478"/>
      <c r="D6" s="478" t="s">
        <v>18</v>
      </c>
      <c r="F6" s="701"/>
      <c r="G6" s="701" t="s">
        <v>295</v>
      </c>
      <c r="H6" s="701" t="s">
        <v>296</v>
      </c>
      <c r="I6" s="701" t="s">
        <v>297</v>
      </c>
      <c r="J6" s="702" t="s">
        <v>302</v>
      </c>
      <c r="K6" s="702" t="s">
        <v>303</v>
      </c>
      <c r="L6" s="702" t="s">
        <v>17</v>
      </c>
      <c r="M6" s="49"/>
    </row>
    <row r="7" spans="1:13" ht="13.5" thickTop="1" x14ac:dyDescent="0.2">
      <c r="A7" s="95">
        <v>25100</v>
      </c>
      <c r="B7" s="155" t="s">
        <v>2</v>
      </c>
      <c r="C7" s="468">
        <f t="shared" ref="C7:C24" si="0">L7</f>
        <v>165</v>
      </c>
      <c r="D7" s="469">
        <f>C7*100/$C$25</f>
        <v>9.7633136094674562</v>
      </c>
      <c r="F7" s="703" t="s">
        <v>87</v>
      </c>
      <c r="G7" s="202">
        <v>0</v>
      </c>
      <c r="H7" s="202">
        <v>80</v>
      </c>
      <c r="I7" s="202">
        <v>30</v>
      </c>
      <c r="J7" s="700">
        <v>20</v>
      </c>
      <c r="K7" s="1400">
        <v>35</v>
      </c>
      <c r="L7" s="202">
        <f>SUM(G7:K7)</f>
        <v>165</v>
      </c>
      <c r="M7" s="703" t="s">
        <v>87</v>
      </c>
    </row>
    <row r="8" spans="1:13" x14ac:dyDescent="0.2">
      <c r="A8" s="96">
        <v>25150</v>
      </c>
      <c r="B8" s="156" t="s">
        <v>3</v>
      </c>
      <c r="C8" s="470">
        <f t="shared" si="0"/>
        <v>10</v>
      </c>
      <c r="D8" s="471">
        <f t="shared" ref="D8:D24" si="1">C8*100/$C$25</f>
        <v>0.59171597633136097</v>
      </c>
      <c r="F8" s="703" t="s">
        <v>88</v>
      </c>
      <c r="G8" s="202">
        <v>0</v>
      </c>
      <c r="H8" s="202">
        <v>0</v>
      </c>
      <c r="I8" s="202">
        <v>10</v>
      </c>
      <c r="J8" s="700">
        <v>0</v>
      </c>
      <c r="K8" s="1400">
        <v>0</v>
      </c>
      <c r="L8" s="202">
        <f>SUM(G8:K8)</f>
        <v>10</v>
      </c>
      <c r="M8" s="703" t="s">
        <v>88</v>
      </c>
    </row>
    <row r="9" spans="1:13" x14ac:dyDescent="0.2">
      <c r="A9" s="96">
        <v>25200</v>
      </c>
      <c r="B9" s="156" t="s">
        <v>4</v>
      </c>
      <c r="C9" s="470">
        <f t="shared" si="0"/>
        <v>70</v>
      </c>
      <c r="D9" s="471">
        <f t="shared" si="1"/>
        <v>4.1420118343195265</v>
      </c>
      <c r="F9" s="703" t="s">
        <v>102</v>
      </c>
      <c r="G9" s="202">
        <v>20</v>
      </c>
      <c r="H9" s="202">
        <v>30</v>
      </c>
      <c r="I9" s="202">
        <v>20</v>
      </c>
      <c r="J9" s="700">
        <v>0</v>
      </c>
      <c r="K9" s="1400">
        <v>0</v>
      </c>
      <c r="L9" s="202">
        <f>SUM(G9:K9)</f>
        <v>70</v>
      </c>
      <c r="M9" s="703" t="s">
        <v>102</v>
      </c>
    </row>
    <row r="10" spans="1:13" s="405" customFormat="1" hidden="1" x14ac:dyDescent="0.2">
      <c r="A10" s="220"/>
      <c r="B10" s="217" t="s">
        <v>117</v>
      </c>
      <c r="C10" s="472">
        <f t="shared" si="0"/>
        <v>20</v>
      </c>
      <c r="D10" s="473">
        <f t="shared" si="1"/>
        <v>1.1834319526627219</v>
      </c>
      <c r="F10" s="964" t="s">
        <v>119</v>
      </c>
      <c r="G10" s="965">
        <v>0</v>
      </c>
      <c r="H10" s="965">
        <v>0</v>
      </c>
      <c r="I10" s="965">
        <v>20</v>
      </c>
      <c r="J10" s="965">
        <v>0</v>
      </c>
      <c r="K10" s="1401">
        <v>0</v>
      </c>
      <c r="L10" s="962">
        <f t="shared" ref="L10:L11" si="2">SUM(G10:K10)</f>
        <v>20</v>
      </c>
      <c r="M10" s="345" t="s">
        <v>119</v>
      </c>
    </row>
    <row r="11" spans="1:13" s="405" customFormat="1" hidden="1" x14ac:dyDescent="0.2">
      <c r="A11" s="220"/>
      <c r="B11" s="217" t="s">
        <v>118</v>
      </c>
      <c r="C11" s="472">
        <f t="shared" si="0"/>
        <v>50</v>
      </c>
      <c r="D11" s="473">
        <f t="shared" si="1"/>
        <v>2.9585798816568047</v>
      </c>
      <c r="F11" s="964" t="s">
        <v>120</v>
      </c>
      <c r="G11" s="965">
        <v>20</v>
      </c>
      <c r="H11" s="965">
        <v>30</v>
      </c>
      <c r="I11" s="965">
        <v>0</v>
      </c>
      <c r="J11" s="965">
        <v>0</v>
      </c>
      <c r="K11" s="1401">
        <v>0</v>
      </c>
      <c r="L11" s="962">
        <f t="shared" si="2"/>
        <v>50</v>
      </c>
      <c r="M11" s="345" t="s">
        <v>120</v>
      </c>
    </row>
    <row r="12" spans="1:13" x14ac:dyDescent="0.2">
      <c r="A12" s="96">
        <v>25300</v>
      </c>
      <c r="B12" s="156" t="s">
        <v>5</v>
      </c>
      <c r="C12" s="470">
        <f t="shared" si="0"/>
        <v>140</v>
      </c>
      <c r="D12" s="471">
        <f t="shared" si="1"/>
        <v>8.2840236686390529</v>
      </c>
      <c r="F12" s="703" t="s">
        <v>177</v>
      </c>
      <c r="G12" s="202">
        <v>0</v>
      </c>
      <c r="H12" s="202">
        <v>80</v>
      </c>
      <c r="I12" s="202">
        <v>40</v>
      </c>
      <c r="J12" s="700">
        <v>20</v>
      </c>
      <c r="K12" s="1400">
        <v>0</v>
      </c>
      <c r="L12" s="202">
        <f t="shared" ref="L12:L24" si="3">SUM(G12:K12)</f>
        <v>140</v>
      </c>
      <c r="M12" s="703" t="s">
        <v>177</v>
      </c>
    </row>
    <row r="13" spans="1:13" x14ac:dyDescent="0.2">
      <c r="A13" s="96">
        <v>25350</v>
      </c>
      <c r="B13" s="156" t="s">
        <v>6</v>
      </c>
      <c r="C13" s="470">
        <f t="shared" si="0"/>
        <v>65</v>
      </c>
      <c r="D13" s="471">
        <f t="shared" si="1"/>
        <v>3.8461538461538463</v>
      </c>
      <c r="F13" s="703" t="s">
        <v>176</v>
      </c>
      <c r="G13" s="202">
        <v>50</v>
      </c>
      <c r="H13" s="202">
        <v>0</v>
      </c>
      <c r="I13" s="202">
        <v>0</v>
      </c>
      <c r="J13" s="700">
        <v>15</v>
      </c>
      <c r="K13" s="1400">
        <v>0</v>
      </c>
      <c r="L13" s="202">
        <f t="shared" si="3"/>
        <v>65</v>
      </c>
      <c r="M13" s="703" t="s">
        <v>176</v>
      </c>
    </row>
    <row r="14" spans="1:13" x14ac:dyDescent="0.2">
      <c r="A14" s="96">
        <v>25351</v>
      </c>
      <c r="B14" s="156" t="s">
        <v>7</v>
      </c>
      <c r="C14" s="470">
        <f t="shared" si="0"/>
        <v>150</v>
      </c>
      <c r="D14" s="471">
        <f t="shared" si="1"/>
        <v>8.8757396449704142</v>
      </c>
      <c r="F14" s="703" t="s">
        <v>91</v>
      </c>
      <c r="G14" s="202">
        <v>20</v>
      </c>
      <c r="H14" s="202">
        <v>80</v>
      </c>
      <c r="I14" s="202">
        <v>0</v>
      </c>
      <c r="J14" s="700">
        <v>0</v>
      </c>
      <c r="K14" s="1400">
        <v>50</v>
      </c>
      <c r="L14" s="202">
        <f t="shared" si="3"/>
        <v>150</v>
      </c>
      <c r="M14" s="703" t="s">
        <v>91</v>
      </c>
    </row>
    <row r="15" spans="1:13" x14ac:dyDescent="0.2">
      <c r="A15" s="96">
        <v>25352</v>
      </c>
      <c r="B15" s="156" t="s">
        <v>8</v>
      </c>
      <c r="C15" s="470">
        <f t="shared" si="0"/>
        <v>129</v>
      </c>
      <c r="D15" s="471">
        <f t="shared" si="1"/>
        <v>7.6331360946745566</v>
      </c>
      <c r="F15" s="703" t="s">
        <v>62</v>
      </c>
      <c r="G15" s="202">
        <v>20</v>
      </c>
      <c r="H15" s="202">
        <v>30</v>
      </c>
      <c r="I15" s="202">
        <v>20</v>
      </c>
      <c r="J15" s="700">
        <v>35</v>
      </c>
      <c r="K15" s="1400">
        <v>24</v>
      </c>
      <c r="L15" s="202">
        <f t="shared" si="3"/>
        <v>129</v>
      </c>
      <c r="M15" s="703" t="s">
        <v>62</v>
      </c>
    </row>
    <row r="16" spans="1:13" x14ac:dyDescent="0.2">
      <c r="A16" s="96">
        <v>25400</v>
      </c>
      <c r="B16" s="156" t="s">
        <v>9</v>
      </c>
      <c r="C16" s="470">
        <f t="shared" si="0"/>
        <v>120</v>
      </c>
      <c r="D16" s="471">
        <f t="shared" si="1"/>
        <v>7.1005917159763312</v>
      </c>
      <c r="F16" s="703" t="s">
        <v>92</v>
      </c>
      <c r="G16" s="202">
        <v>40</v>
      </c>
      <c r="H16" s="202">
        <v>0</v>
      </c>
      <c r="I16" s="202">
        <v>20</v>
      </c>
      <c r="J16" s="700">
        <v>30</v>
      </c>
      <c r="K16" s="1400">
        <v>30</v>
      </c>
      <c r="L16" s="202">
        <f t="shared" si="3"/>
        <v>120</v>
      </c>
      <c r="M16" s="703" t="s">
        <v>92</v>
      </c>
    </row>
    <row r="17" spans="1:22" x14ac:dyDescent="0.2">
      <c r="A17" s="96">
        <v>25500</v>
      </c>
      <c r="B17" s="156" t="s">
        <v>10</v>
      </c>
      <c r="C17" s="470">
        <f t="shared" si="0"/>
        <v>70</v>
      </c>
      <c r="D17" s="471">
        <f t="shared" si="1"/>
        <v>4.1420118343195265</v>
      </c>
      <c r="F17" s="703" t="s">
        <v>93</v>
      </c>
      <c r="G17" s="202">
        <v>0</v>
      </c>
      <c r="H17" s="202">
        <v>50</v>
      </c>
      <c r="I17" s="202">
        <v>0</v>
      </c>
      <c r="J17" s="700">
        <v>20</v>
      </c>
      <c r="K17" s="1400">
        <v>0</v>
      </c>
      <c r="L17" s="202">
        <f t="shared" si="3"/>
        <v>70</v>
      </c>
      <c r="M17" s="703" t="s">
        <v>93</v>
      </c>
    </row>
    <row r="18" spans="1:22" x14ac:dyDescent="0.2">
      <c r="A18" s="96">
        <v>25600</v>
      </c>
      <c r="B18" s="156" t="s">
        <v>11</v>
      </c>
      <c r="C18" s="470">
        <f t="shared" si="0"/>
        <v>0</v>
      </c>
      <c r="D18" s="471">
        <f t="shared" si="1"/>
        <v>0</v>
      </c>
      <c r="F18" s="703" t="s">
        <v>94</v>
      </c>
      <c r="G18" s="202">
        <v>0</v>
      </c>
      <c r="H18" s="202">
        <v>0</v>
      </c>
      <c r="I18" s="202">
        <v>0</v>
      </c>
      <c r="J18" s="700">
        <v>0</v>
      </c>
      <c r="K18" s="1400">
        <v>0</v>
      </c>
      <c r="L18" s="202">
        <f t="shared" si="3"/>
        <v>0</v>
      </c>
      <c r="M18" s="703" t="s">
        <v>94</v>
      </c>
    </row>
    <row r="19" spans="1:22" x14ac:dyDescent="0.2">
      <c r="A19" s="96">
        <v>25610</v>
      </c>
      <c r="B19" s="156" t="s">
        <v>12</v>
      </c>
      <c r="C19" s="470">
        <f t="shared" si="0"/>
        <v>70</v>
      </c>
      <c r="D19" s="471">
        <f t="shared" si="1"/>
        <v>4.1420118343195265</v>
      </c>
      <c r="F19" s="703" t="s">
        <v>63</v>
      </c>
      <c r="G19" s="202">
        <v>20</v>
      </c>
      <c r="H19" s="202">
        <v>0</v>
      </c>
      <c r="I19" s="202">
        <v>20</v>
      </c>
      <c r="J19" s="700">
        <v>30</v>
      </c>
      <c r="K19" s="1400">
        <v>0</v>
      </c>
      <c r="L19" s="202">
        <f t="shared" si="3"/>
        <v>70</v>
      </c>
      <c r="M19" s="703" t="s">
        <v>63</v>
      </c>
    </row>
    <row r="20" spans="1:22" x14ac:dyDescent="0.2">
      <c r="A20" s="96">
        <v>25700</v>
      </c>
      <c r="B20" s="156" t="s">
        <v>13</v>
      </c>
      <c r="C20" s="470">
        <f t="shared" si="0"/>
        <v>40</v>
      </c>
      <c r="D20" s="471">
        <f t="shared" si="1"/>
        <v>2.3668639053254439</v>
      </c>
      <c r="F20" s="703" t="s">
        <v>95</v>
      </c>
      <c r="G20" s="202">
        <v>0</v>
      </c>
      <c r="H20" s="202">
        <v>20</v>
      </c>
      <c r="I20" s="202">
        <v>0</v>
      </c>
      <c r="J20" s="700">
        <v>0</v>
      </c>
      <c r="K20" s="1400">
        <v>20</v>
      </c>
      <c r="L20" s="202">
        <f t="shared" si="3"/>
        <v>40</v>
      </c>
      <c r="M20" s="703" t="s">
        <v>95</v>
      </c>
    </row>
    <row r="21" spans="1:22" x14ac:dyDescent="0.2">
      <c r="A21" s="96">
        <v>25800</v>
      </c>
      <c r="B21" s="156" t="s">
        <v>14</v>
      </c>
      <c r="C21" s="470">
        <f t="shared" si="0"/>
        <v>318</v>
      </c>
      <c r="D21" s="471">
        <f t="shared" si="1"/>
        <v>18.816568047337277</v>
      </c>
      <c r="F21" s="703" t="s">
        <v>96</v>
      </c>
      <c r="G21" s="202">
        <v>64</v>
      </c>
      <c r="H21" s="202">
        <v>140</v>
      </c>
      <c r="I21" s="202">
        <v>40</v>
      </c>
      <c r="J21" s="700">
        <v>40</v>
      </c>
      <c r="K21" s="1400">
        <v>34</v>
      </c>
      <c r="L21" s="202">
        <f t="shared" si="3"/>
        <v>318</v>
      </c>
      <c r="M21" s="703" t="s">
        <v>96</v>
      </c>
    </row>
    <row r="22" spans="1:22" x14ac:dyDescent="0.2">
      <c r="A22" s="96">
        <v>25810</v>
      </c>
      <c r="B22" s="156" t="s">
        <v>15</v>
      </c>
      <c r="C22" s="470">
        <f t="shared" si="0"/>
        <v>117</v>
      </c>
      <c r="D22" s="471">
        <f t="shared" si="1"/>
        <v>6.9230769230769234</v>
      </c>
      <c r="F22" s="703" t="s">
        <v>97</v>
      </c>
      <c r="G22" s="202">
        <v>0</v>
      </c>
      <c r="H22" s="202">
        <v>20</v>
      </c>
      <c r="I22" s="202">
        <v>0</v>
      </c>
      <c r="J22" s="700">
        <v>40</v>
      </c>
      <c r="K22" s="1400">
        <v>57</v>
      </c>
      <c r="L22" s="202">
        <f t="shared" si="3"/>
        <v>117</v>
      </c>
      <c r="M22" s="703" t="s">
        <v>97</v>
      </c>
    </row>
    <row r="23" spans="1:22" x14ac:dyDescent="0.2">
      <c r="A23" s="96">
        <v>25820</v>
      </c>
      <c r="B23" s="156" t="s">
        <v>16</v>
      </c>
      <c r="C23" s="470">
        <f t="shared" si="0"/>
        <v>136</v>
      </c>
      <c r="D23" s="471">
        <f t="shared" si="1"/>
        <v>8.0473372781065091</v>
      </c>
      <c r="F23" s="703" t="s">
        <v>64</v>
      </c>
      <c r="G23" s="202">
        <v>6</v>
      </c>
      <c r="H23" s="202">
        <v>60</v>
      </c>
      <c r="I23" s="202">
        <v>0</v>
      </c>
      <c r="J23" s="700">
        <v>10</v>
      </c>
      <c r="K23" s="1400">
        <v>60</v>
      </c>
      <c r="L23" s="202">
        <f t="shared" si="3"/>
        <v>136</v>
      </c>
      <c r="M23" s="703" t="s">
        <v>64</v>
      </c>
    </row>
    <row r="24" spans="1:22" ht="13.5" thickBot="1" x14ac:dyDescent="0.25">
      <c r="A24" s="97">
        <v>25830</v>
      </c>
      <c r="B24" s="294" t="s">
        <v>66</v>
      </c>
      <c r="C24" s="474">
        <f t="shared" si="0"/>
        <v>90</v>
      </c>
      <c r="D24" s="475">
        <f t="shared" si="1"/>
        <v>5.3254437869822482</v>
      </c>
      <c r="F24" s="703" t="s">
        <v>299</v>
      </c>
      <c r="G24" s="202">
        <v>0</v>
      </c>
      <c r="H24" s="202">
        <v>0</v>
      </c>
      <c r="I24" s="202">
        <v>30</v>
      </c>
      <c r="J24" s="700">
        <v>20</v>
      </c>
      <c r="K24" s="1400">
        <v>40</v>
      </c>
      <c r="L24" s="202">
        <f t="shared" si="3"/>
        <v>90</v>
      </c>
      <c r="M24" s="703" t="s">
        <v>299</v>
      </c>
    </row>
    <row r="25" spans="1:22" ht="13.5" thickTop="1" x14ac:dyDescent="0.2">
      <c r="A25" s="98">
        <v>25000</v>
      </c>
      <c r="B25" s="160" t="s">
        <v>17</v>
      </c>
      <c r="C25" s="479">
        <f>SUM(C7:C24)-C10-C11</f>
        <v>1690</v>
      </c>
      <c r="D25" s="480">
        <f>SUM(D7:D24)-D10-D11</f>
        <v>100</v>
      </c>
      <c r="F25" s="49"/>
      <c r="G25" s="202">
        <f t="shared" ref="G25:K25" si="4">SUM(G7:G24)-G10-G11</f>
        <v>240</v>
      </c>
      <c r="H25" s="202">
        <f t="shared" si="4"/>
        <v>590</v>
      </c>
      <c r="I25" s="202">
        <f t="shared" si="4"/>
        <v>230</v>
      </c>
      <c r="J25" s="202">
        <f t="shared" si="4"/>
        <v>280</v>
      </c>
      <c r="K25" s="202">
        <f t="shared" si="4"/>
        <v>350</v>
      </c>
      <c r="L25" s="202">
        <f>SUM(L7:L24)-L10-L11</f>
        <v>1690</v>
      </c>
      <c r="M25" s="49"/>
    </row>
    <row r="29" spans="1:22" x14ac:dyDescent="0.2">
      <c r="P29" s="703"/>
      <c r="Q29" s="202"/>
      <c r="R29" s="202"/>
      <c r="S29" s="202"/>
      <c r="T29" s="202"/>
      <c r="U29" s="202"/>
      <c r="V29" s="202"/>
    </row>
  </sheetData>
  <mergeCells count="2">
    <mergeCell ref="A4:A6"/>
    <mergeCell ref="B4:B6"/>
  </mergeCells>
  <pageMargins left="0.7" right="0.7" top="0.78740157499999996" bottom="0.78740157499999996" header="0.3" footer="0.3"/>
  <pageSetup paperSize="9" scale="9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4D5A3-CA69-4C6C-8DA4-8F9D960EA6A2}">
  <sheetPr>
    <tabColor rgb="FFFFFF00"/>
    <pageSetUpPr fitToPage="1"/>
  </sheetPr>
  <dimension ref="A1:V29"/>
  <sheetViews>
    <sheetView zoomScaleNormal="100" workbookViewId="0"/>
  </sheetViews>
  <sheetFormatPr defaultRowHeight="12.75" x14ac:dyDescent="0.2"/>
  <cols>
    <col min="1" max="1" width="10.28515625" customWidth="1"/>
    <col min="2" max="2" width="40.42578125" customWidth="1"/>
    <col min="6" max="13" width="8.7109375" customWidth="1"/>
    <col min="15" max="15" width="14.5703125" customWidth="1"/>
  </cols>
  <sheetData>
    <row r="1" spans="1:13" ht="15" x14ac:dyDescent="0.25">
      <c r="A1" s="101" t="s">
        <v>429</v>
      </c>
    </row>
    <row r="4" spans="1:13" x14ac:dyDescent="0.2">
      <c r="A4" s="1428" t="s">
        <v>0</v>
      </c>
      <c r="B4" s="1430" t="s">
        <v>1</v>
      </c>
      <c r="C4" s="404"/>
      <c r="D4" s="404"/>
    </row>
    <row r="5" spans="1:13" x14ac:dyDescent="0.2">
      <c r="A5" s="1428"/>
      <c r="B5" s="1430"/>
      <c r="C5" s="481" t="s">
        <v>300</v>
      </c>
      <c r="D5" s="481" t="s">
        <v>156</v>
      </c>
    </row>
    <row r="6" spans="1:13" ht="13.5" thickBot="1" x14ac:dyDescent="0.25">
      <c r="A6" s="1429"/>
      <c r="B6" s="1412"/>
      <c r="C6" s="478"/>
      <c r="D6" s="478" t="s">
        <v>18</v>
      </c>
      <c r="G6" s="695" t="s">
        <v>295</v>
      </c>
      <c r="H6" s="695" t="s">
        <v>296</v>
      </c>
      <c r="I6" s="695" t="s">
        <v>297</v>
      </c>
      <c r="J6" s="699" t="s">
        <v>302</v>
      </c>
      <c r="K6" s="699" t="s">
        <v>303</v>
      </c>
      <c r="L6" s="699" t="s">
        <v>17</v>
      </c>
    </row>
    <row r="7" spans="1:13" ht="13.5" thickTop="1" x14ac:dyDescent="0.2">
      <c r="A7" s="95">
        <v>25100</v>
      </c>
      <c r="B7" s="155" t="s">
        <v>2</v>
      </c>
      <c r="C7" s="468">
        <f t="shared" ref="C7:C24" si="0">L7</f>
        <v>464</v>
      </c>
      <c r="D7" s="469">
        <f>C7*100/$C$25</f>
        <v>23.061630218687874</v>
      </c>
      <c r="F7" s="696" t="s">
        <v>87</v>
      </c>
      <c r="G7" s="202">
        <v>80</v>
      </c>
      <c r="H7" s="202">
        <v>96</v>
      </c>
      <c r="I7" s="202">
        <v>96</v>
      </c>
      <c r="J7" s="700">
        <v>112</v>
      </c>
      <c r="K7" s="1400">
        <v>80</v>
      </c>
      <c r="L7" s="202">
        <f>SUM(G7:K7)</f>
        <v>464</v>
      </c>
      <c r="M7" s="696" t="s">
        <v>87</v>
      </c>
    </row>
    <row r="8" spans="1:13" x14ac:dyDescent="0.2">
      <c r="A8" s="96">
        <v>25150</v>
      </c>
      <c r="B8" s="156" t="s">
        <v>3</v>
      </c>
      <c r="C8" s="470">
        <f t="shared" si="0"/>
        <v>32</v>
      </c>
      <c r="D8" s="471">
        <f t="shared" ref="D8:D24" si="1">C8*100/$C$25</f>
        <v>1.5904572564612327</v>
      </c>
      <c r="F8" s="696" t="s">
        <v>88</v>
      </c>
      <c r="G8" s="202">
        <v>0</v>
      </c>
      <c r="H8" s="202">
        <v>0</v>
      </c>
      <c r="I8" s="202">
        <v>0</v>
      </c>
      <c r="J8" s="700">
        <v>32</v>
      </c>
      <c r="K8" s="1400">
        <v>0</v>
      </c>
      <c r="L8" s="202">
        <f>SUM(G8:K8)</f>
        <v>32</v>
      </c>
      <c r="M8" s="696" t="s">
        <v>88</v>
      </c>
    </row>
    <row r="9" spans="1:13" x14ac:dyDescent="0.2">
      <c r="A9" s="96">
        <v>25200</v>
      </c>
      <c r="B9" s="156" t="s">
        <v>4</v>
      </c>
      <c r="C9" s="470">
        <f t="shared" si="0"/>
        <v>28</v>
      </c>
      <c r="D9" s="471">
        <f t="shared" si="1"/>
        <v>1.3916500994035785</v>
      </c>
      <c r="F9" s="696" t="s">
        <v>102</v>
      </c>
      <c r="G9" s="202">
        <v>8</v>
      </c>
      <c r="H9" s="202">
        <v>0</v>
      </c>
      <c r="I9" s="202">
        <v>0</v>
      </c>
      <c r="J9" s="700">
        <v>4</v>
      </c>
      <c r="K9" s="1400">
        <v>16</v>
      </c>
      <c r="L9" s="202">
        <f>SUM(G9:K9)</f>
        <v>28</v>
      </c>
      <c r="M9" s="696" t="s">
        <v>102</v>
      </c>
    </row>
    <row r="10" spans="1:13" hidden="1" x14ac:dyDescent="0.2">
      <c r="A10" s="220"/>
      <c r="B10" s="217" t="s">
        <v>117</v>
      </c>
      <c r="C10" s="472">
        <f t="shared" si="0"/>
        <v>20</v>
      </c>
      <c r="D10" s="473">
        <f t="shared" si="1"/>
        <v>0.99403578528827041</v>
      </c>
      <c r="F10" s="963" t="s">
        <v>119</v>
      </c>
      <c r="G10" s="266">
        <v>0</v>
      </c>
      <c r="H10" s="266">
        <v>0</v>
      </c>
      <c r="I10" s="266">
        <v>0</v>
      </c>
      <c r="J10" s="266">
        <v>4</v>
      </c>
      <c r="K10" s="1398">
        <v>16</v>
      </c>
      <c r="L10" s="962">
        <f t="shared" ref="L10:L11" si="2">SUM(G10:K10)</f>
        <v>20</v>
      </c>
      <c r="M10" s="963" t="s">
        <v>119</v>
      </c>
    </row>
    <row r="11" spans="1:13" hidden="1" x14ac:dyDescent="0.2">
      <c r="A11" s="220"/>
      <c r="B11" s="217" t="s">
        <v>118</v>
      </c>
      <c r="C11" s="472">
        <f t="shared" si="0"/>
        <v>8</v>
      </c>
      <c r="D11" s="473">
        <f t="shared" si="1"/>
        <v>0.39761431411530818</v>
      </c>
      <c r="F11" s="963" t="s">
        <v>120</v>
      </c>
      <c r="G11" s="266">
        <v>8</v>
      </c>
      <c r="H11" s="266">
        <v>0</v>
      </c>
      <c r="I11" s="266">
        <v>0</v>
      </c>
      <c r="J11" s="266">
        <v>0</v>
      </c>
      <c r="K11" s="1398">
        <v>0</v>
      </c>
      <c r="L11" s="962">
        <f t="shared" si="2"/>
        <v>8</v>
      </c>
      <c r="M11" s="963" t="s">
        <v>120</v>
      </c>
    </row>
    <row r="12" spans="1:13" x14ac:dyDescent="0.2">
      <c r="A12" s="96">
        <v>25300</v>
      </c>
      <c r="B12" s="156" t="s">
        <v>5</v>
      </c>
      <c r="C12" s="470">
        <f t="shared" si="0"/>
        <v>672</v>
      </c>
      <c r="D12" s="471">
        <f t="shared" si="1"/>
        <v>33.399602385685881</v>
      </c>
      <c r="F12" s="696" t="s">
        <v>177</v>
      </c>
      <c r="G12" s="202">
        <v>0</v>
      </c>
      <c r="H12" s="202">
        <v>48</v>
      </c>
      <c r="I12" s="202">
        <v>208</v>
      </c>
      <c r="J12" s="700">
        <v>200</v>
      </c>
      <c r="K12" s="1400">
        <v>216</v>
      </c>
      <c r="L12" s="202">
        <f t="shared" ref="L12:L24" si="3">SUM(G12:K12)</f>
        <v>672</v>
      </c>
      <c r="M12" s="696" t="s">
        <v>177</v>
      </c>
    </row>
    <row r="13" spans="1:13" x14ac:dyDescent="0.2">
      <c r="A13" s="96">
        <v>25350</v>
      </c>
      <c r="B13" s="156" t="s">
        <v>6</v>
      </c>
      <c r="C13" s="470">
        <f t="shared" si="0"/>
        <v>104</v>
      </c>
      <c r="D13" s="471">
        <f t="shared" si="1"/>
        <v>5.1689860834990062</v>
      </c>
      <c r="F13" s="696" t="s">
        <v>176</v>
      </c>
      <c r="G13" s="202">
        <v>48</v>
      </c>
      <c r="H13" s="202">
        <v>24</v>
      </c>
      <c r="I13" s="202">
        <v>0</v>
      </c>
      <c r="J13" s="700">
        <v>16</v>
      </c>
      <c r="K13" s="1400">
        <v>16</v>
      </c>
      <c r="L13" s="202">
        <f t="shared" si="3"/>
        <v>104</v>
      </c>
      <c r="M13" s="696" t="s">
        <v>176</v>
      </c>
    </row>
    <row r="14" spans="1:13" x14ac:dyDescent="0.2">
      <c r="A14" s="96">
        <v>25351</v>
      </c>
      <c r="B14" s="156" t="s">
        <v>7</v>
      </c>
      <c r="C14" s="470">
        <f t="shared" si="0"/>
        <v>0</v>
      </c>
      <c r="D14" s="471">
        <f t="shared" si="1"/>
        <v>0</v>
      </c>
      <c r="F14" s="696" t="s">
        <v>91</v>
      </c>
      <c r="G14" s="202">
        <v>0</v>
      </c>
      <c r="H14" s="202">
        <v>0</v>
      </c>
      <c r="I14" s="202">
        <v>0</v>
      </c>
      <c r="J14" s="700">
        <v>0</v>
      </c>
      <c r="K14" s="1400">
        <v>0</v>
      </c>
      <c r="L14" s="202">
        <f t="shared" si="3"/>
        <v>0</v>
      </c>
      <c r="M14" s="696" t="s">
        <v>91</v>
      </c>
    </row>
    <row r="15" spans="1:13" x14ac:dyDescent="0.2">
      <c r="A15" s="96">
        <v>25352</v>
      </c>
      <c r="B15" s="156" t="s">
        <v>8</v>
      </c>
      <c r="C15" s="470">
        <f t="shared" si="0"/>
        <v>40</v>
      </c>
      <c r="D15" s="471">
        <f t="shared" si="1"/>
        <v>1.9880715705765408</v>
      </c>
      <c r="F15" s="696" t="s">
        <v>62</v>
      </c>
      <c r="G15" s="202">
        <v>0</v>
      </c>
      <c r="H15" s="202">
        <v>16</v>
      </c>
      <c r="I15" s="202">
        <v>0</v>
      </c>
      <c r="J15" s="700">
        <v>16</v>
      </c>
      <c r="K15" s="1400">
        <v>8</v>
      </c>
      <c r="L15" s="202">
        <f t="shared" si="3"/>
        <v>40</v>
      </c>
      <c r="M15" s="696" t="s">
        <v>62</v>
      </c>
    </row>
    <row r="16" spans="1:13" x14ac:dyDescent="0.2">
      <c r="A16" s="96">
        <v>25400</v>
      </c>
      <c r="B16" s="156" t="s">
        <v>9</v>
      </c>
      <c r="C16" s="470">
        <f t="shared" si="0"/>
        <v>212</v>
      </c>
      <c r="D16" s="471">
        <f t="shared" si="1"/>
        <v>10.536779324055667</v>
      </c>
      <c r="F16" s="696" t="s">
        <v>92</v>
      </c>
      <c r="G16" s="202">
        <v>48</v>
      </c>
      <c r="H16" s="202">
        <v>64</v>
      </c>
      <c r="I16" s="202">
        <v>56</v>
      </c>
      <c r="J16" s="700">
        <v>4</v>
      </c>
      <c r="K16" s="1400">
        <v>40</v>
      </c>
      <c r="L16" s="202">
        <f t="shared" si="3"/>
        <v>212</v>
      </c>
      <c r="M16" s="696" t="s">
        <v>92</v>
      </c>
    </row>
    <row r="17" spans="1:22" x14ac:dyDescent="0.2">
      <c r="A17" s="96">
        <v>25500</v>
      </c>
      <c r="B17" s="156" t="s">
        <v>10</v>
      </c>
      <c r="C17" s="470">
        <f t="shared" si="0"/>
        <v>42</v>
      </c>
      <c r="D17" s="471">
        <f t="shared" si="1"/>
        <v>2.0874751491053676</v>
      </c>
      <c r="F17" s="696" t="s">
        <v>93</v>
      </c>
      <c r="G17" s="202">
        <v>0</v>
      </c>
      <c r="H17" s="202">
        <v>0</v>
      </c>
      <c r="I17" s="202">
        <v>0</v>
      </c>
      <c r="J17" s="700">
        <v>18</v>
      </c>
      <c r="K17" s="1400">
        <v>24</v>
      </c>
      <c r="L17" s="202">
        <f t="shared" si="3"/>
        <v>42</v>
      </c>
      <c r="M17" s="696" t="s">
        <v>93</v>
      </c>
    </row>
    <row r="18" spans="1:22" x14ac:dyDescent="0.2">
      <c r="A18" s="96">
        <v>25600</v>
      </c>
      <c r="B18" s="156" t="s">
        <v>11</v>
      </c>
      <c r="C18" s="470">
        <f t="shared" si="0"/>
        <v>42</v>
      </c>
      <c r="D18" s="471">
        <f t="shared" si="1"/>
        <v>2.0874751491053676</v>
      </c>
      <c r="F18" s="696" t="s">
        <v>94</v>
      </c>
      <c r="G18" s="202">
        <v>0</v>
      </c>
      <c r="H18" s="202">
        <v>0</v>
      </c>
      <c r="I18" s="202">
        <v>0</v>
      </c>
      <c r="J18" s="700">
        <v>34</v>
      </c>
      <c r="K18" s="1400">
        <v>8</v>
      </c>
      <c r="L18" s="202">
        <f t="shared" si="3"/>
        <v>42</v>
      </c>
      <c r="M18" s="696" t="s">
        <v>94</v>
      </c>
    </row>
    <row r="19" spans="1:22" x14ac:dyDescent="0.2">
      <c r="A19" s="96">
        <v>25610</v>
      </c>
      <c r="B19" s="156" t="s">
        <v>12</v>
      </c>
      <c r="C19" s="470">
        <f t="shared" si="0"/>
        <v>2</v>
      </c>
      <c r="D19" s="471">
        <f t="shared" si="1"/>
        <v>9.9403578528827044E-2</v>
      </c>
      <c r="F19" s="696" t="s">
        <v>63</v>
      </c>
      <c r="G19" s="202">
        <v>0</v>
      </c>
      <c r="H19" s="202">
        <v>0</v>
      </c>
      <c r="I19" s="202">
        <v>0</v>
      </c>
      <c r="J19" s="700">
        <v>2</v>
      </c>
      <c r="K19" s="1400">
        <v>0</v>
      </c>
      <c r="L19" s="202">
        <f t="shared" si="3"/>
        <v>2</v>
      </c>
      <c r="M19" s="696" t="s">
        <v>63</v>
      </c>
    </row>
    <row r="20" spans="1:22" x14ac:dyDescent="0.2">
      <c r="A20" s="96">
        <v>25700</v>
      </c>
      <c r="B20" s="156" t="s">
        <v>13</v>
      </c>
      <c r="C20" s="470">
        <f t="shared" si="0"/>
        <v>72</v>
      </c>
      <c r="D20" s="471">
        <f t="shared" si="1"/>
        <v>3.5785288270377733</v>
      </c>
      <c r="F20" s="696" t="s">
        <v>95</v>
      </c>
      <c r="G20" s="202">
        <v>0</v>
      </c>
      <c r="H20" s="202">
        <v>40</v>
      </c>
      <c r="I20" s="202">
        <v>0</v>
      </c>
      <c r="J20" s="700">
        <v>16</v>
      </c>
      <c r="K20" s="1400">
        <v>16</v>
      </c>
      <c r="L20" s="202">
        <f t="shared" si="3"/>
        <v>72</v>
      </c>
      <c r="M20" s="696" t="s">
        <v>95</v>
      </c>
    </row>
    <row r="21" spans="1:22" x14ac:dyDescent="0.2">
      <c r="A21" s="96">
        <v>25800</v>
      </c>
      <c r="B21" s="156" t="s">
        <v>14</v>
      </c>
      <c r="C21" s="470">
        <f t="shared" si="0"/>
        <v>116</v>
      </c>
      <c r="D21" s="471">
        <f t="shared" si="1"/>
        <v>5.7654075546719685</v>
      </c>
      <c r="F21" s="696" t="s">
        <v>96</v>
      </c>
      <c r="G21" s="202">
        <v>0</v>
      </c>
      <c r="H21" s="202">
        <v>0</v>
      </c>
      <c r="I21" s="202">
        <v>24</v>
      </c>
      <c r="J21" s="700">
        <v>52</v>
      </c>
      <c r="K21" s="1400">
        <v>40</v>
      </c>
      <c r="L21" s="202">
        <f t="shared" si="3"/>
        <v>116</v>
      </c>
      <c r="M21" s="696" t="s">
        <v>96</v>
      </c>
    </row>
    <row r="22" spans="1:22" x14ac:dyDescent="0.2">
      <c r="A22" s="96">
        <v>25810</v>
      </c>
      <c r="B22" s="156" t="s">
        <v>15</v>
      </c>
      <c r="C22" s="470">
        <f t="shared" si="0"/>
        <v>24</v>
      </c>
      <c r="D22" s="471">
        <f t="shared" si="1"/>
        <v>1.1928429423459244</v>
      </c>
      <c r="F22" s="696" t="s">
        <v>97</v>
      </c>
      <c r="G22" s="202">
        <v>16</v>
      </c>
      <c r="H22" s="202">
        <v>0</v>
      </c>
      <c r="I22" s="202">
        <v>0</v>
      </c>
      <c r="J22" s="700">
        <v>0</v>
      </c>
      <c r="K22" s="1400">
        <v>8</v>
      </c>
      <c r="L22" s="202">
        <f t="shared" si="3"/>
        <v>24</v>
      </c>
      <c r="M22" s="696" t="s">
        <v>97</v>
      </c>
    </row>
    <row r="23" spans="1:22" x14ac:dyDescent="0.2">
      <c r="A23" s="96">
        <v>25820</v>
      </c>
      <c r="B23" s="156" t="s">
        <v>16</v>
      </c>
      <c r="C23" s="470">
        <f t="shared" si="0"/>
        <v>100</v>
      </c>
      <c r="D23" s="471">
        <f t="shared" si="1"/>
        <v>4.9701789264413518</v>
      </c>
      <c r="F23" s="696" t="s">
        <v>64</v>
      </c>
      <c r="G23" s="202">
        <v>0</v>
      </c>
      <c r="H23" s="202">
        <v>24</v>
      </c>
      <c r="I23" s="202">
        <v>16</v>
      </c>
      <c r="J23" s="700">
        <v>20</v>
      </c>
      <c r="K23" s="1400">
        <v>40</v>
      </c>
      <c r="L23" s="202">
        <f t="shared" si="3"/>
        <v>100</v>
      </c>
      <c r="M23" s="696" t="s">
        <v>64</v>
      </c>
    </row>
    <row r="24" spans="1:22" ht="13.5" thickBot="1" x14ac:dyDescent="0.25">
      <c r="A24" s="97">
        <v>25830</v>
      </c>
      <c r="B24" s="294" t="s">
        <v>66</v>
      </c>
      <c r="C24" s="474">
        <f t="shared" si="0"/>
        <v>62</v>
      </c>
      <c r="D24" s="475">
        <f t="shared" si="1"/>
        <v>3.0815109343936382</v>
      </c>
      <c r="F24" s="696" t="s">
        <v>299</v>
      </c>
      <c r="G24" s="202">
        <v>0</v>
      </c>
      <c r="H24" s="202">
        <v>0</v>
      </c>
      <c r="I24" s="202">
        <v>16</v>
      </c>
      <c r="J24" s="700">
        <v>22</v>
      </c>
      <c r="K24" s="1400">
        <v>24</v>
      </c>
      <c r="L24" s="202">
        <f t="shared" si="3"/>
        <v>62</v>
      </c>
      <c r="M24" s="696" t="s">
        <v>299</v>
      </c>
    </row>
    <row r="25" spans="1:22" ht="13.5" thickTop="1" x14ac:dyDescent="0.2">
      <c r="A25" s="98">
        <v>25000</v>
      </c>
      <c r="B25" s="160" t="s">
        <v>17</v>
      </c>
      <c r="C25" s="479">
        <f>SUM(C7:C24)-C10-C11</f>
        <v>2012</v>
      </c>
      <c r="D25" s="480">
        <f>SUM(D7:D24)-D10-D11</f>
        <v>99.999999999999986</v>
      </c>
      <c r="G25" s="345">
        <f>SUM(G7:G24)-G10-G11</f>
        <v>200</v>
      </c>
      <c r="H25" s="345">
        <f t="shared" ref="H25:L25" si="4">SUM(H7:H24)-H10-H11</f>
        <v>312</v>
      </c>
      <c r="I25" s="345">
        <f t="shared" si="4"/>
        <v>416</v>
      </c>
      <c r="J25" s="345">
        <f t="shared" si="4"/>
        <v>548</v>
      </c>
      <c r="K25" s="345">
        <f t="shared" si="4"/>
        <v>536</v>
      </c>
      <c r="L25" s="345">
        <f t="shared" si="4"/>
        <v>2012</v>
      </c>
    </row>
    <row r="29" spans="1:22" x14ac:dyDescent="0.2">
      <c r="O29" s="696"/>
      <c r="P29" s="202"/>
      <c r="Q29" s="202"/>
      <c r="R29" s="202"/>
      <c r="S29" s="202"/>
      <c r="T29" s="202"/>
      <c r="U29" s="202"/>
      <c r="V29" s="49"/>
    </row>
  </sheetData>
  <mergeCells count="2">
    <mergeCell ref="A4:A6"/>
    <mergeCell ref="B4:B6"/>
  </mergeCells>
  <pageMargins left="0.7" right="0.7" top="0.78740157499999996" bottom="0.78740157499999996" header="0.3" footer="0.3"/>
  <pageSetup paperSize="9" scale="90"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D75CA-D6F3-4EDF-AEF2-DA37710E49BC}">
  <sheetPr>
    <tabColor rgb="FFFFFF00"/>
    <pageSetUpPr fitToPage="1"/>
  </sheetPr>
  <dimension ref="A1:J29"/>
  <sheetViews>
    <sheetView workbookViewId="0"/>
  </sheetViews>
  <sheetFormatPr defaultRowHeight="12.75" x14ac:dyDescent="0.2"/>
  <cols>
    <col min="1" max="1" width="10.28515625" customWidth="1"/>
    <col min="2" max="2" width="40.42578125" customWidth="1"/>
    <col min="15" max="15" width="14.5703125" customWidth="1"/>
  </cols>
  <sheetData>
    <row r="1" spans="1:10" ht="15" x14ac:dyDescent="0.25">
      <c r="A1" s="101" t="s">
        <v>430</v>
      </c>
    </row>
    <row r="4" spans="1:10" x14ac:dyDescent="0.2">
      <c r="A4" s="1428" t="s">
        <v>0</v>
      </c>
      <c r="B4" s="1430" t="s">
        <v>1</v>
      </c>
      <c r="C4" s="404"/>
      <c r="D4" s="404"/>
    </row>
    <row r="5" spans="1:10" x14ac:dyDescent="0.2">
      <c r="A5" s="1428"/>
      <c r="B5" s="1430"/>
      <c r="C5" s="481" t="s">
        <v>334</v>
      </c>
      <c r="D5" s="481" t="s">
        <v>156</v>
      </c>
    </row>
    <row r="6" spans="1:10" ht="13.5" thickBot="1" x14ac:dyDescent="0.25">
      <c r="A6" s="1429"/>
      <c r="B6" s="1412"/>
      <c r="C6" s="478"/>
      <c r="D6" s="478" t="s">
        <v>18</v>
      </c>
    </row>
    <row r="7" spans="1:10" ht="13.5" thickTop="1" x14ac:dyDescent="0.2">
      <c r="A7" s="95">
        <v>25100</v>
      </c>
      <c r="B7" s="155" t="s">
        <v>2</v>
      </c>
      <c r="C7" s="967">
        <f>G16</f>
        <v>10.875</v>
      </c>
      <c r="D7" s="469">
        <f>C7*100/$C$25</f>
        <v>8.6999999999999993</v>
      </c>
    </row>
    <row r="8" spans="1:10" x14ac:dyDescent="0.2">
      <c r="A8" s="96">
        <v>25150</v>
      </c>
      <c r="B8" s="156" t="s">
        <v>3</v>
      </c>
      <c r="C8" s="968">
        <f>G15</f>
        <v>11.15</v>
      </c>
      <c r="D8" s="471">
        <f t="shared" ref="D8:D24" si="0">C8*100/$C$25</f>
        <v>8.9199999999999982</v>
      </c>
    </row>
    <row r="9" spans="1:10" x14ac:dyDescent="0.2">
      <c r="A9" s="96">
        <v>25200</v>
      </c>
      <c r="B9" s="156" t="s">
        <v>4</v>
      </c>
      <c r="C9" s="968">
        <f>G13</f>
        <v>20.274999999999999</v>
      </c>
      <c r="D9" s="471">
        <f t="shared" si="0"/>
        <v>16.219999999999995</v>
      </c>
    </row>
    <row r="10" spans="1:10" hidden="1" x14ac:dyDescent="0.2">
      <c r="A10" s="220"/>
      <c r="B10" s="217" t="s">
        <v>117</v>
      </c>
      <c r="C10" s="969">
        <v>8.51</v>
      </c>
      <c r="D10" s="473">
        <f t="shared" si="0"/>
        <v>6.8079999999999989</v>
      </c>
      <c r="G10" s="1"/>
      <c r="H10" s="1"/>
      <c r="I10" s="1"/>
      <c r="J10" s="1"/>
    </row>
    <row r="11" spans="1:10" hidden="1" x14ac:dyDescent="0.2">
      <c r="A11" s="220"/>
      <c r="B11" s="217" t="s">
        <v>118</v>
      </c>
      <c r="C11" s="969">
        <v>11.76</v>
      </c>
      <c r="D11" s="473">
        <f t="shared" si="0"/>
        <v>9.4079999999999995</v>
      </c>
      <c r="G11" s="1"/>
      <c r="H11" s="1"/>
      <c r="I11" s="1"/>
      <c r="J11" s="1"/>
    </row>
    <row r="12" spans="1:10" x14ac:dyDescent="0.2">
      <c r="A12" s="96">
        <v>25300</v>
      </c>
      <c r="B12" s="156" t="s">
        <v>5</v>
      </c>
      <c r="C12" s="968">
        <f>G14</f>
        <v>14.9</v>
      </c>
      <c r="D12" s="471">
        <f t="shared" si="0"/>
        <v>11.919999999999998</v>
      </c>
      <c r="G12" s="704" t="s">
        <v>305</v>
      </c>
      <c r="H12" s="698"/>
    </row>
    <row r="13" spans="1:10" x14ac:dyDescent="0.2">
      <c r="A13" s="96">
        <v>25350</v>
      </c>
      <c r="B13" s="156" t="s">
        <v>6</v>
      </c>
      <c r="C13" s="968">
        <f>G20</f>
        <v>7.375</v>
      </c>
      <c r="D13" s="471">
        <f t="shared" si="0"/>
        <v>5.8999999999999995</v>
      </c>
      <c r="F13" s="697" t="s">
        <v>102</v>
      </c>
      <c r="G13" s="966">
        <v>20.274999999999999</v>
      </c>
      <c r="H13" s="698"/>
    </row>
    <row r="14" spans="1:10" x14ac:dyDescent="0.2">
      <c r="A14" s="96">
        <v>25351</v>
      </c>
      <c r="B14" s="156" t="s">
        <v>7</v>
      </c>
      <c r="C14" s="968">
        <f>G25</f>
        <v>3.75</v>
      </c>
      <c r="D14" s="471">
        <f t="shared" si="0"/>
        <v>2.9999999999999996</v>
      </c>
      <c r="F14" s="697" t="s">
        <v>177</v>
      </c>
      <c r="G14" s="966">
        <v>14.9</v>
      </c>
      <c r="H14" s="698"/>
    </row>
    <row r="15" spans="1:10" x14ac:dyDescent="0.2">
      <c r="A15" s="96">
        <v>25352</v>
      </c>
      <c r="B15" s="156" t="s">
        <v>8</v>
      </c>
      <c r="C15" s="968">
        <f>G18</f>
        <v>8.75</v>
      </c>
      <c r="D15" s="471">
        <f t="shared" si="0"/>
        <v>6.9999999999999991</v>
      </c>
      <c r="F15" s="697" t="s">
        <v>88</v>
      </c>
      <c r="G15" s="966">
        <v>11.15</v>
      </c>
      <c r="H15" s="698"/>
    </row>
    <row r="16" spans="1:10" x14ac:dyDescent="0.2">
      <c r="A16" s="96">
        <v>25400</v>
      </c>
      <c r="B16" s="156" t="s">
        <v>9</v>
      </c>
      <c r="C16" s="968">
        <f>G19</f>
        <v>7.5250000000000004</v>
      </c>
      <c r="D16" s="471">
        <f t="shared" si="0"/>
        <v>6.02</v>
      </c>
      <c r="F16" s="697" t="s">
        <v>87</v>
      </c>
      <c r="G16" s="966">
        <v>10.875</v>
      </c>
      <c r="H16" s="698"/>
    </row>
    <row r="17" spans="1:8" x14ac:dyDescent="0.2">
      <c r="A17" s="96">
        <v>25500</v>
      </c>
      <c r="B17" s="156" t="s">
        <v>10</v>
      </c>
      <c r="C17" s="968">
        <f>G22</f>
        <v>6.4</v>
      </c>
      <c r="D17" s="471">
        <f t="shared" si="0"/>
        <v>5.1199999999999992</v>
      </c>
      <c r="F17" s="697" t="s">
        <v>64</v>
      </c>
      <c r="G17" s="966">
        <v>9.6999999999999993</v>
      </c>
      <c r="H17" s="698"/>
    </row>
    <row r="18" spans="1:8" x14ac:dyDescent="0.2">
      <c r="A18" s="96">
        <v>25600</v>
      </c>
      <c r="B18" s="156" t="s">
        <v>11</v>
      </c>
      <c r="C18" s="968">
        <f>G23</f>
        <v>5.4</v>
      </c>
      <c r="D18" s="471">
        <f t="shared" si="0"/>
        <v>4.3199999999999994</v>
      </c>
      <c r="F18" s="697" t="s">
        <v>62</v>
      </c>
      <c r="G18" s="966">
        <v>8.75</v>
      </c>
      <c r="H18" s="698"/>
    </row>
    <row r="19" spans="1:8" x14ac:dyDescent="0.2">
      <c r="A19" s="96">
        <v>25610</v>
      </c>
      <c r="B19" s="156" t="s">
        <v>12</v>
      </c>
      <c r="C19" s="968">
        <f>G28</f>
        <v>1.875</v>
      </c>
      <c r="D19" s="471">
        <f t="shared" si="0"/>
        <v>1.4999999999999998</v>
      </c>
      <c r="F19" s="697" t="s">
        <v>92</v>
      </c>
      <c r="G19" s="966">
        <v>7.5250000000000004</v>
      </c>
      <c r="H19" s="698"/>
    </row>
    <row r="20" spans="1:8" x14ac:dyDescent="0.2">
      <c r="A20" s="96">
        <v>25700</v>
      </c>
      <c r="B20" s="156" t="s">
        <v>13</v>
      </c>
      <c r="C20" s="968">
        <f>G24</f>
        <v>4.5</v>
      </c>
      <c r="D20" s="471">
        <f t="shared" si="0"/>
        <v>3.5999999999999996</v>
      </c>
      <c r="F20" s="697" t="s">
        <v>176</v>
      </c>
      <c r="G20" s="966">
        <v>7.375</v>
      </c>
      <c r="H20" s="698"/>
    </row>
    <row r="21" spans="1:8" x14ac:dyDescent="0.2">
      <c r="A21" s="96">
        <v>25800</v>
      </c>
      <c r="B21" s="156" t="s">
        <v>14</v>
      </c>
      <c r="C21" s="968">
        <f>G21</f>
        <v>7.25</v>
      </c>
      <c r="D21" s="471">
        <f t="shared" si="0"/>
        <v>5.7999999999999989</v>
      </c>
      <c r="F21" s="697" t="s">
        <v>96</v>
      </c>
      <c r="G21" s="966">
        <v>7.25</v>
      </c>
      <c r="H21" s="698"/>
    </row>
    <row r="22" spans="1:8" x14ac:dyDescent="0.2">
      <c r="A22" s="96">
        <v>25810</v>
      </c>
      <c r="B22" s="156" t="s">
        <v>15</v>
      </c>
      <c r="C22" s="968">
        <f>G26</f>
        <v>2.9</v>
      </c>
      <c r="D22" s="471">
        <f t="shared" si="0"/>
        <v>2.3199999999999998</v>
      </c>
      <c r="F22" s="697" t="s">
        <v>93</v>
      </c>
      <c r="G22" s="966">
        <v>6.4</v>
      </c>
      <c r="H22" s="698"/>
    </row>
    <row r="23" spans="1:8" x14ac:dyDescent="0.2">
      <c r="A23" s="96">
        <v>25820</v>
      </c>
      <c r="B23" s="156" t="s">
        <v>16</v>
      </c>
      <c r="C23" s="968">
        <f>G17</f>
        <v>9.6999999999999993</v>
      </c>
      <c r="D23" s="471">
        <f t="shared" si="0"/>
        <v>7.759999999999998</v>
      </c>
      <c r="F23" s="697" t="s">
        <v>94</v>
      </c>
      <c r="G23" s="966">
        <v>5.4</v>
      </c>
      <c r="H23" s="698"/>
    </row>
    <row r="24" spans="1:8" ht="13.5" thickBot="1" x14ac:dyDescent="0.25">
      <c r="A24" s="97">
        <v>25830</v>
      </c>
      <c r="B24" s="294" t="s">
        <v>66</v>
      </c>
      <c r="C24" s="970">
        <f>G27</f>
        <v>2.375</v>
      </c>
      <c r="D24" s="475">
        <f t="shared" si="0"/>
        <v>1.8999999999999997</v>
      </c>
      <c r="F24" s="697" t="s">
        <v>95</v>
      </c>
      <c r="G24" s="966">
        <v>4.5</v>
      </c>
      <c r="H24" s="698"/>
    </row>
    <row r="25" spans="1:8" ht="13.5" thickTop="1" x14ac:dyDescent="0.2">
      <c r="A25" s="98">
        <v>25000</v>
      </c>
      <c r="B25" s="160" t="s">
        <v>17</v>
      </c>
      <c r="C25" s="971">
        <f>SUM(C7:C24)-C10-C11</f>
        <v>125.00000000000001</v>
      </c>
      <c r="D25" s="480">
        <f>SUM(D7:D24)-D10-D11</f>
        <v>99.999999999999986</v>
      </c>
      <c r="F25" s="697" t="s">
        <v>91</v>
      </c>
      <c r="G25" s="966">
        <v>3.75</v>
      </c>
      <c r="H25" s="698"/>
    </row>
    <row r="26" spans="1:8" x14ac:dyDescent="0.2">
      <c r="F26" s="697" t="s">
        <v>97</v>
      </c>
      <c r="G26" s="966">
        <v>2.9</v>
      </c>
      <c r="H26" s="698"/>
    </row>
    <row r="27" spans="1:8" x14ac:dyDescent="0.2">
      <c r="F27" s="697" t="s">
        <v>299</v>
      </c>
      <c r="G27" s="966">
        <v>2.375</v>
      </c>
      <c r="H27" s="698"/>
    </row>
    <row r="28" spans="1:8" x14ac:dyDescent="0.2">
      <c r="F28" s="697" t="s">
        <v>63</v>
      </c>
      <c r="G28" s="966">
        <v>1.875</v>
      </c>
      <c r="H28" s="698"/>
    </row>
    <row r="29" spans="1:8" x14ac:dyDescent="0.2">
      <c r="F29" s="49" t="s">
        <v>304</v>
      </c>
      <c r="G29" s="966">
        <f>SUM(G13:G28)</f>
        <v>125.00000000000001</v>
      </c>
    </row>
  </sheetData>
  <mergeCells count="2">
    <mergeCell ref="A4:A6"/>
    <mergeCell ref="B4:B6"/>
  </mergeCells>
  <pageMargins left="0.7" right="0.7" top="0.78740157499999996" bottom="0.78740157499999996" header="0.3" footer="0.3"/>
  <pageSetup paperSize="9" orientation="landscape" r:id="rId1"/>
  <ignoredErrors>
    <ignoredError sqref="C21" formula="1"/>
  </ignoredError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Z43"/>
  <sheetViews>
    <sheetView zoomScaleNormal="100" workbookViewId="0"/>
  </sheetViews>
  <sheetFormatPr defaultRowHeight="12.75" x14ac:dyDescent="0.2"/>
  <cols>
    <col min="1" max="1" width="12.42578125" customWidth="1"/>
    <col min="2" max="2" width="8.28515625" customWidth="1"/>
    <col min="3" max="4" width="5.28515625" customWidth="1"/>
    <col min="5" max="6" width="5.28515625" style="270" hidden="1" customWidth="1"/>
    <col min="7" max="7" width="5.28515625" bestFit="1" customWidth="1"/>
    <col min="8" max="11" width="5.28515625" customWidth="1"/>
    <col min="12" max="13" width="5.28515625" style="270" customWidth="1"/>
    <col min="14" max="15" width="5.28515625" customWidth="1"/>
    <col min="16" max="16" width="7.140625" customWidth="1"/>
    <col min="17" max="17" width="5.28515625" customWidth="1"/>
    <col min="18" max="18" width="7.140625" customWidth="1"/>
    <col min="19" max="19" width="8.85546875" style="1"/>
    <col min="20" max="20" width="38.5703125" style="2" customWidth="1"/>
    <col min="21" max="21" width="7.85546875" customWidth="1"/>
    <col min="22" max="22" width="5.7109375" customWidth="1"/>
    <col min="23" max="23" width="7.85546875" customWidth="1"/>
    <col min="24" max="24" width="6" customWidth="1"/>
    <col min="25" max="25" width="7.85546875" customWidth="1"/>
    <col min="26" max="26" width="5.5703125" customWidth="1"/>
  </cols>
  <sheetData>
    <row r="1" spans="1:26" ht="15" x14ac:dyDescent="0.25">
      <c r="A1" s="101" t="s">
        <v>422</v>
      </c>
    </row>
    <row r="2" spans="1:26" ht="13.5" thickBot="1" x14ac:dyDescent="0.25">
      <c r="A2" s="342"/>
      <c r="B2" s="342"/>
      <c r="C2" s="342"/>
      <c r="D2" s="342"/>
      <c r="G2" s="342"/>
      <c r="H2" s="342"/>
      <c r="I2" s="342"/>
      <c r="J2" s="342"/>
      <c r="K2" s="342"/>
      <c r="N2" s="342"/>
      <c r="O2" s="342"/>
      <c r="P2" s="342"/>
      <c r="Q2" s="342"/>
    </row>
    <row r="3" spans="1:26" ht="13.5" thickBot="1" x14ac:dyDescent="0.25">
      <c r="A3" s="103" t="s">
        <v>436</v>
      </c>
      <c r="B3" s="48"/>
      <c r="C3" s="48"/>
      <c r="D3" s="48"/>
      <c r="E3" s="266"/>
      <c r="F3" s="266"/>
      <c r="G3" s="48"/>
      <c r="H3" s="48"/>
      <c r="I3" s="48"/>
      <c r="J3" s="48"/>
      <c r="K3" s="48" t="s">
        <v>333</v>
      </c>
      <c r="L3" s="266"/>
      <c r="M3" s="266"/>
      <c r="N3" s="48"/>
      <c r="O3" s="48"/>
      <c r="P3" s="48"/>
      <c r="Q3" s="342"/>
      <c r="U3" s="1422" t="s">
        <v>69</v>
      </c>
      <c r="V3" s="1424"/>
      <c r="W3" s="1422" t="s">
        <v>70</v>
      </c>
      <c r="X3" s="1423"/>
      <c r="Y3" s="1425" t="s">
        <v>78</v>
      </c>
      <c r="Z3" s="1423"/>
    </row>
    <row r="4" spans="1:26" x14ac:dyDescent="0.2">
      <c r="A4" s="104" t="s">
        <v>36</v>
      </c>
      <c r="B4" s="88">
        <v>25100</v>
      </c>
      <c r="C4" s="88">
        <v>25150</v>
      </c>
      <c r="D4" s="88">
        <v>25200</v>
      </c>
      <c r="E4" s="267">
        <v>25220</v>
      </c>
      <c r="F4" s="267">
        <v>25230</v>
      </c>
      <c r="G4" s="88">
        <v>25300</v>
      </c>
      <c r="H4" s="88">
        <v>25350</v>
      </c>
      <c r="I4" s="88">
        <v>25351</v>
      </c>
      <c r="J4" s="88">
        <v>25400</v>
      </c>
      <c r="K4" s="88">
        <v>25500</v>
      </c>
      <c r="L4" s="88">
        <v>25600</v>
      </c>
      <c r="M4" s="88">
        <v>25700</v>
      </c>
      <c r="N4" s="88">
        <v>25800</v>
      </c>
      <c r="O4" s="88">
        <v>25810</v>
      </c>
      <c r="P4" s="105" t="s">
        <v>17</v>
      </c>
      <c r="Q4" s="342"/>
      <c r="S4" s="1409" t="s">
        <v>0</v>
      </c>
      <c r="T4" s="1411" t="s">
        <v>1</v>
      </c>
      <c r="U4" s="364" t="s">
        <v>417</v>
      </c>
      <c r="V4" s="365" t="s">
        <v>156</v>
      </c>
      <c r="W4" s="364" t="s">
        <v>417</v>
      </c>
      <c r="X4" s="366" t="s">
        <v>156</v>
      </c>
      <c r="Y4" s="367" t="s">
        <v>417</v>
      </c>
      <c r="Z4" s="366" t="s">
        <v>156</v>
      </c>
    </row>
    <row r="5" spans="1:26" ht="13.5" thickBot="1" x14ac:dyDescent="0.25">
      <c r="A5" s="106" t="s">
        <v>68</v>
      </c>
      <c r="B5" s="343">
        <v>162</v>
      </c>
      <c r="C5" s="107">
        <v>31</v>
      </c>
      <c r="D5" s="107">
        <v>603</v>
      </c>
      <c r="E5" s="268">
        <v>468</v>
      </c>
      <c r="F5" s="268">
        <v>135</v>
      </c>
      <c r="G5" s="107">
        <v>0</v>
      </c>
      <c r="H5" s="107">
        <v>235</v>
      </c>
      <c r="I5" s="107">
        <v>302</v>
      </c>
      <c r="J5" s="107">
        <v>1511</v>
      </c>
      <c r="K5" s="107">
        <v>1259</v>
      </c>
      <c r="L5" s="107">
        <v>1672</v>
      </c>
      <c r="M5" s="107">
        <v>386</v>
      </c>
      <c r="N5" s="107">
        <v>537</v>
      </c>
      <c r="O5" s="107">
        <v>0</v>
      </c>
      <c r="P5" s="108">
        <f>SUM(B5:O5)-E5-F5</f>
        <v>6698</v>
      </c>
      <c r="Q5" s="342"/>
      <c r="S5" s="1410"/>
      <c r="T5" s="1412"/>
      <c r="U5" s="368" t="s">
        <v>193</v>
      </c>
      <c r="V5" s="369" t="s">
        <v>18</v>
      </c>
      <c r="W5" s="368" t="s">
        <v>193</v>
      </c>
      <c r="X5" s="370" t="s">
        <v>18</v>
      </c>
      <c r="Y5" s="371" t="s">
        <v>193</v>
      </c>
      <c r="Z5" s="370" t="s">
        <v>18</v>
      </c>
    </row>
    <row r="6" spans="1:26" ht="13.5" thickTop="1" x14ac:dyDescent="0.2">
      <c r="A6" s="106" t="s">
        <v>18</v>
      </c>
      <c r="B6" s="109">
        <f>(B5*100)/$P$5</f>
        <v>2.4186324275903255</v>
      </c>
      <c r="C6" s="109">
        <f t="shared" ref="C6:O6" si="0">(C5*100)/$P$5</f>
        <v>0.46282472379814871</v>
      </c>
      <c r="D6" s="109">
        <f t="shared" si="0"/>
        <v>9.0026873693639899</v>
      </c>
      <c r="E6" s="301">
        <f t="shared" si="0"/>
        <v>6.9871603463720513</v>
      </c>
      <c r="F6" s="301">
        <f t="shared" si="0"/>
        <v>2.0155270229919378</v>
      </c>
      <c r="G6" s="109">
        <f t="shared" si="0"/>
        <v>0</v>
      </c>
      <c r="H6" s="109">
        <f t="shared" si="0"/>
        <v>3.5085100029859659</v>
      </c>
      <c r="I6" s="109">
        <f t="shared" si="0"/>
        <v>4.5088085995819647</v>
      </c>
      <c r="J6" s="109">
        <f t="shared" si="0"/>
        <v>22.558972827709763</v>
      </c>
      <c r="K6" s="109">
        <f t="shared" si="0"/>
        <v>18.796655718124814</v>
      </c>
      <c r="L6" s="109">
        <f t="shared" si="0"/>
        <v>24.962675425500148</v>
      </c>
      <c r="M6" s="109">
        <f t="shared" si="0"/>
        <v>5.7629143027769487</v>
      </c>
      <c r="N6" s="109">
        <f t="shared" si="0"/>
        <v>8.0173186025679311</v>
      </c>
      <c r="O6" s="109">
        <f t="shared" si="0"/>
        <v>0</v>
      </c>
      <c r="P6" s="208">
        <f>SUM(B6:O6)-E6-F6</f>
        <v>100</v>
      </c>
      <c r="Q6" s="342"/>
      <c r="S6" s="9">
        <v>25100</v>
      </c>
      <c r="T6" s="155" t="s">
        <v>2</v>
      </c>
      <c r="U6" s="356">
        <f>B5+B24</f>
        <v>518</v>
      </c>
      <c r="V6" s="357">
        <f>U6*100/$U$24</f>
        <v>3.6261813090654531</v>
      </c>
      <c r="W6" s="356">
        <f>B10+B29</f>
        <v>359.18</v>
      </c>
      <c r="X6" s="358">
        <f>W6*100/$W$24</f>
        <v>2.1833840811982053</v>
      </c>
      <c r="Y6" s="359">
        <f>B15+B34</f>
        <v>17</v>
      </c>
      <c r="Z6" s="358">
        <f>Y6*100/$Y$24</f>
        <v>2.0807833537331701</v>
      </c>
    </row>
    <row r="7" spans="1:26" x14ac:dyDescent="0.2">
      <c r="A7" s="80"/>
      <c r="B7" s="112"/>
      <c r="C7" s="112"/>
      <c r="D7" s="112"/>
      <c r="E7" s="269"/>
      <c r="F7" s="269"/>
      <c r="G7" s="112"/>
      <c r="H7" s="112"/>
      <c r="I7" s="112"/>
      <c r="J7" s="112"/>
      <c r="K7" s="112"/>
      <c r="L7" s="112"/>
      <c r="M7" s="112"/>
      <c r="N7" s="112"/>
      <c r="O7" s="112"/>
      <c r="P7" s="112"/>
      <c r="Q7" s="342"/>
      <c r="S7" s="10">
        <v>25150</v>
      </c>
      <c r="T7" s="156" t="s">
        <v>3</v>
      </c>
      <c r="U7" s="348">
        <f>C5+C24</f>
        <v>67</v>
      </c>
      <c r="V7" s="351">
        <f t="shared" ref="V7:V23" si="1">U7*100/$U$24</f>
        <v>0.46902345117255861</v>
      </c>
      <c r="W7" s="348">
        <f>C10+C29</f>
        <v>750.49</v>
      </c>
      <c r="X7" s="349">
        <f t="shared" ref="X7:X23" si="2">W7*100/$W$24</f>
        <v>4.5620800687634082</v>
      </c>
      <c r="Y7" s="352">
        <f>C15+C34</f>
        <v>1</v>
      </c>
      <c r="Z7" s="349">
        <f t="shared" ref="Z7:Z23" si="3">Y7*100/$Y$24</f>
        <v>0.12239902080783353</v>
      </c>
    </row>
    <row r="8" spans="1:26" x14ac:dyDescent="0.2">
      <c r="A8" s="103" t="s">
        <v>437</v>
      </c>
      <c r="B8" s="48"/>
      <c r="C8" s="48"/>
      <c r="D8" s="48"/>
      <c r="E8" s="266"/>
      <c r="F8" s="266"/>
      <c r="G8" s="48"/>
      <c r="H8" s="48"/>
      <c r="I8" s="48"/>
      <c r="J8" s="48"/>
      <c r="K8" s="48" t="s">
        <v>333</v>
      </c>
      <c r="L8" s="48"/>
      <c r="M8" s="48"/>
      <c r="N8" s="48"/>
      <c r="O8" s="48"/>
      <c r="P8" s="48"/>
      <c r="Q8" s="342"/>
      <c r="S8" s="10">
        <v>25200</v>
      </c>
      <c r="T8" s="156" t="s">
        <v>4</v>
      </c>
      <c r="U8" s="348">
        <f>D5+D24</f>
        <v>1600</v>
      </c>
      <c r="V8" s="351">
        <f t="shared" si="1"/>
        <v>11.2005600280014</v>
      </c>
      <c r="W8" s="348">
        <f>D10+D29</f>
        <v>1832.04</v>
      </c>
      <c r="X8" s="349">
        <f t="shared" si="2"/>
        <v>11.136608308141767</v>
      </c>
      <c r="Y8" s="352">
        <f>D15+D34</f>
        <v>530</v>
      </c>
      <c r="Z8" s="349">
        <f t="shared" si="3"/>
        <v>64.871481028151777</v>
      </c>
    </row>
    <row r="9" spans="1:26" x14ac:dyDescent="0.2">
      <c r="A9" s="104" t="s">
        <v>36</v>
      </c>
      <c r="B9" s="88">
        <v>25100</v>
      </c>
      <c r="C9" s="88">
        <v>25150</v>
      </c>
      <c r="D9" s="88">
        <v>25200</v>
      </c>
      <c r="E9" s="267">
        <v>25220</v>
      </c>
      <c r="F9" s="267">
        <v>25230</v>
      </c>
      <c r="G9" s="88">
        <v>25300</v>
      </c>
      <c r="H9" s="88">
        <v>25350</v>
      </c>
      <c r="I9" s="88">
        <v>25351</v>
      </c>
      <c r="J9" s="88">
        <v>25400</v>
      </c>
      <c r="K9" s="88">
        <v>25500</v>
      </c>
      <c r="L9" s="88">
        <v>25600</v>
      </c>
      <c r="M9" s="88">
        <v>25700</v>
      </c>
      <c r="N9" s="88">
        <v>25800</v>
      </c>
      <c r="O9" s="88">
        <v>25810</v>
      </c>
      <c r="P9" s="105" t="s">
        <v>17</v>
      </c>
      <c r="Q9" s="342"/>
      <c r="S9" s="1499"/>
      <c r="T9" s="1500" t="s">
        <v>117</v>
      </c>
      <c r="U9" s="1501">
        <f>E5+E24</f>
        <v>756</v>
      </c>
      <c r="V9" s="1503">
        <f t="shared" si="1"/>
        <v>5.2922646132306612</v>
      </c>
      <c r="W9" s="1501">
        <f>E10+E29</f>
        <v>844.64</v>
      </c>
      <c r="X9" s="1504">
        <f t="shared" si="2"/>
        <v>5.1343992715163767</v>
      </c>
      <c r="Y9" s="1505">
        <f>E15+E34</f>
        <v>204</v>
      </c>
      <c r="Z9" s="1504">
        <f t="shared" si="3"/>
        <v>24.969400244798042</v>
      </c>
    </row>
    <row r="10" spans="1:26" x14ac:dyDescent="0.2">
      <c r="A10" s="106" t="s">
        <v>68</v>
      </c>
      <c r="B10" s="107">
        <v>129</v>
      </c>
      <c r="C10" s="107">
        <v>131</v>
      </c>
      <c r="D10" s="107">
        <v>661</v>
      </c>
      <c r="E10" s="268">
        <v>260</v>
      </c>
      <c r="F10" s="268">
        <v>401</v>
      </c>
      <c r="G10" s="107">
        <v>1355</v>
      </c>
      <c r="H10" s="107">
        <v>282</v>
      </c>
      <c r="I10" s="107">
        <v>280</v>
      </c>
      <c r="J10" s="107">
        <v>2107</v>
      </c>
      <c r="K10" s="107">
        <v>232</v>
      </c>
      <c r="L10" s="107">
        <v>273</v>
      </c>
      <c r="M10" s="107">
        <v>550</v>
      </c>
      <c r="N10" s="107">
        <v>153</v>
      </c>
      <c r="O10" s="107">
        <v>0</v>
      </c>
      <c r="P10" s="108">
        <f>SUM(B10:O10)-E10-F10</f>
        <v>6153</v>
      </c>
      <c r="Q10" s="342"/>
      <c r="S10" s="1499"/>
      <c r="T10" s="1500" t="s">
        <v>118</v>
      </c>
      <c r="U10" s="1501">
        <f>F5+F24</f>
        <v>844</v>
      </c>
      <c r="V10" s="1503">
        <f t="shared" si="1"/>
        <v>5.9082954147707385</v>
      </c>
      <c r="W10" s="1501">
        <f>F10+F29</f>
        <v>987.4</v>
      </c>
      <c r="X10" s="1504">
        <f t="shared" si="2"/>
        <v>6.0022090366253904</v>
      </c>
      <c r="Y10" s="1505">
        <f>F15+F34</f>
        <v>326</v>
      </c>
      <c r="Z10" s="1504">
        <f t="shared" si="3"/>
        <v>39.902080783353732</v>
      </c>
    </row>
    <row r="11" spans="1:26" x14ac:dyDescent="0.2">
      <c r="A11" s="106" t="s">
        <v>18</v>
      </c>
      <c r="B11" s="109">
        <f>(B10*100)/$P$10</f>
        <v>2.0965382740126768</v>
      </c>
      <c r="C11" s="109">
        <f t="shared" ref="C11:O11" si="4">(C10*100)/$P$10</f>
        <v>2.1290427433772146</v>
      </c>
      <c r="D11" s="109">
        <f t="shared" si="4"/>
        <v>10.742727124979684</v>
      </c>
      <c r="E11" s="301">
        <f t="shared" si="4"/>
        <v>4.2255810173898913</v>
      </c>
      <c r="F11" s="301">
        <f t="shared" si="4"/>
        <v>6.5171461075897934</v>
      </c>
      <c r="G11" s="109">
        <f t="shared" si="4"/>
        <v>22.021777994474242</v>
      </c>
      <c r="H11" s="109">
        <f t="shared" si="4"/>
        <v>4.583130180399805</v>
      </c>
      <c r="I11" s="109">
        <f t="shared" si="4"/>
        <v>4.5506257110352673</v>
      </c>
      <c r="J11" s="109">
        <f t="shared" si="4"/>
        <v>34.243458475540386</v>
      </c>
      <c r="K11" s="109">
        <f t="shared" si="4"/>
        <v>3.7705184462863643</v>
      </c>
      <c r="L11" s="109">
        <f t="shared" si="4"/>
        <v>4.4368600682593859</v>
      </c>
      <c r="M11" s="109">
        <f t="shared" si="4"/>
        <v>8.9387290752478474</v>
      </c>
      <c r="N11" s="109">
        <f t="shared" si="4"/>
        <v>2.4865919063871282</v>
      </c>
      <c r="O11" s="109">
        <f t="shared" si="4"/>
        <v>0</v>
      </c>
      <c r="P11" s="110">
        <f>SUM(B11:O11)-E11-F11</f>
        <v>100.00000000000001</v>
      </c>
      <c r="Q11" s="342"/>
      <c r="S11" s="10">
        <v>25300</v>
      </c>
      <c r="T11" s="156" t="s">
        <v>5</v>
      </c>
      <c r="U11" s="348">
        <f>G5+G24</f>
        <v>62</v>
      </c>
      <c r="V11" s="351">
        <f t="shared" si="1"/>
        <v>0.43402170108505428</v>
      </c>
      <c r="W11" s="348">
        <f>G10+G29</f>
        <v>3416.51</v>
      </c>
      <c r="X11" s="349">
        <f t="shared" si="2"/>
        <v>20.768287619729605</v>
      </c>
      <c r="Y11" s="352">
        <f>G15+G34</f>
        <v>15</v>
      </c>
      <c r="Z11" s="349">
        <f t="shared" si="3"/>
        <v>1.8359853121175032</v>
      </c>
    </row>
    <row r="12" spans="1:26" x14ac:dyDescent="0.2">
      <c r="A12" s="80"/>
      <c r="B12" s="112"/>
      <c r="C12" s="112"/>
      <c r="D12" s="112"/>
      <c r="E12" s="269"/>
      <c r="F12" s="269"/>
      <c r="G12" s="112"/>
      <c r="H12" s="112"/>
      <c r="I12" s="112"/>
      <c r="J12" s="112"/>
      <c r="K12" s="112"/>
      <c r="L12" s="112"/>
      <c r="M12" s="112"/>
      <c r="N12" s="112"/>
      <c r="O12" s="112"/>
      <c r="P12" s="112"/>
      <c r="Q12" s="342"/>
      <c r="S12" s="10">
        <v>25350</v>
      </c>
      <c r="T12" s="156" t="s">
        <v>6</v>
      </c>
      <c r="U12" s="348">
        <f>H5+H24</f>
        <v>347</v>
      </c>
      <c r="V12" s="351">
        <f t="shared" si="1"/>
        <v>2.4291214560728038</v>
      </c>
      <c r="W12" s="348">
        <f>H10+H29</f>
        <v>826.65</v>
      </c>
      <c r="X12" s="349">
        <f t="shared" si="2"/>
        <v>5.0250416245962928</v>
      </c>
      <c r="Y12" s="352">
        <f>H15+H34</f>
        <v>20</v>
      </c>
      <c r="Z12" s="349">
        <f t="shared" si="3"/>
        <v>2.4479804161566707</v>
      </c>
    </row>
    <row r="13" spans="1:26" x14ac:dyDescent="0.2">
      <c r="A13" s="103" t="s">
        <v>438</v>
      </c>
      <c r="B13" s="48"/>
      <c r="C13" s="48"/>
      <c r="D13" s="48"/>
      <c r="E13" s="266"/>
      <c r="F13" s="266"/>
      <c r="G13" s="48"/>
      <c r="H13" s="48"/>
      <c r="I13" s="48"/>
      <c r="J13" s="48"/>
      <c r="K13" s="48" t="s">
        <v>333</v>
      </c>
      <c r="L13" s="48"/>
      <c r="M13" s="48"/>
      <c r="N13" s="48"/>
      <c r="O13" s="48"/>
      <c r="P13" s="48"/>
      <c r="Q13" s="342"/>
      <c r="S13" s="10">
        <v>25351</v>
      </c>
      <c r="T13" s="156" t="s">
        <v>7</v>
      </c>
      <c r="U13" s="348">
        <f>I5+I24</f>
        <v>717</v>
      </c>
      <c r="V13" s="351">
        <f t="shared" si="1"/>
        <v>5.019250962548127</v>
      </c>
      <c r="W13" s="348">
        <f>I10+I29</f>
        <v>782.46</v>
      </c>
      <c r="X13" s="349">
        <f t="shared" si="2"/>
        <v>4.7564193668198333</v>
      </c>
      <c r="Y13" s="352">
        <f>I15+I34</f>
        <v>45</v>
      </c>
      <c r="Z13" s="349">
        <f t="shared" si="3"/>
        <v>5.5079559363525092</v>
      </c>
    </row>
    <row r="14" spans="1:26" x14ac:dyDescent="0.2">
      <c r="A14" s="104" t="s">
        <v>36</v>
      </c>
      <c r="B14" s="88">
        <v>25100</v>
      </c>
      <c r="C14" s="88">
        <v>25150</v>
      </c>
      <c r="D14" s="88">
        <v>25200</v>
      </c>
      <c r="E14" s="267">
        <v>25220</v>
      </c>
      <c r="F14" s="267">
        <v>25230</v>
      </c>
      <c r="G14" s="88">
        <v>25300</v>
      </c>
      <c r="H14" s="88">
        <v>25350</v>
      </c>
      <c r="I14" s="88">
        <v>25351</v>
      </c>
      <c r="J14" s="88">
        <v>25400</v>
      </c>
      <c r="K14" s="88">
        <v>25500</v>
      </c>
      <c r="L14" s="88">
        <v>25600</v>
      </c>
      <c r="M14" s="88">
        <v>25700</v>
      </c>
      <c r="N14" s="88">
        <v>25800</v>
      </c>
      <c r="O14" s="88">
        <v>25810</v>
      </c>
      <c r="P14" s="105" t="s">
        <v>17</v>
      </c>
      <c r="Q14" s="342"/>
      <c r="S14" s="10">
        <v>25352</v>
      </c>
      <c r="T14" s="156" t="s">
        <v>8</v>
      </c>
      <c r="U14" s="350">
        <v>0</v>
      </c>
      <c r="V14" s="351">
        <f t="shared" si="1"/>
        <v>0</v>
      </c>
      <c r="W14" s="350">
        <v>0</v>
      </c>
      <c r="X14" s="349">
        <f t="shared" si="2"/>
        <v>0</v>
      </c>
      <c r="Y14" s="353">
        <v>0</v>
      </c>
      <c r="Z14" s="349">
        <f t="shared" si="3"/>
        <v>0</v>
      </c>
    </row>
    <row r="15" spans="1:26" x14ac:dyDescent="0.2">
      <c r="A15" s="106" t="s">
        <v>79</v>
      </c>
      <c r="B15" s="107">
        <v>17</v>
      </c>
      <c r="C15" s="107">
        <v>1</v>
      </c>
      <c r="D15" s="107">
        <v>171</v>
      </c>
      <c r="E15" s="268">
        <v>53</v>
      </c>
      <c r="F15" s="268">
        <v>118</v>
      </c>
      <c r="G15" s="107">
        <v>0</v>
      </c>
      <c r="H15" s="107">
        <v>0</v>
      </c>
      <c r="I15" s="107">
        <v>6</v>
      </c>
      <c r="J15" s="107">
        <v>0</v>
      </c>
      <c r="K15" s="107">
        <v>11</v>
      </c>
      <c r="L15" s="107">
        <v>8</v>
      </c>
      <c r="M15" s="107">
        <v>18</v>
      </c>
      <c r="N15" s="107">
        <v>0</v>
      </c>
      <c r="O15" s="107">
        <v>0</v>
      </c>
      <c r="P15" s="108">
        <f>SUM(B15:O15)-E15-F15</f>
        <v>232</v>
      </c>
      <c r="Q15" s="342"/>
      <c r="S15" s="10">
        <v>25400</v>
      </c>
      <c r="T15" s="156" t="s">
        <v>9</v>
      </c>
      <c r="U15" s="348">
        <f>J5+J24</f>
        <v>2598</v>
      </c>
      <c r="V15" s="351">
        <f t="shared" si="1"/>
        <v>18.186909345467274</v>
      </c>
      <c r="W15" s="348">
        <f>J10+J29</f>
        <v>6259</v>
      </c>
      <c r="X15" s="349">
        <f t="shared" si="2"/>
        <v>38.047221349238725</v>
      </c>
      <c r="Y15" s="352">
        <f>J15+J34</f>
        <v>15</v>
      </c>
      <c r="Z15" s="349">
        <f t="shared" si="3"/>
        <v>1.8359853121175032</v>
      </c>
    </row>
    <row r="16" spans="1:26" x14ac:dyDescent="0.2">
      <c r="A16" s="106" t="s">
        <v>18</v>
      </c>
      <c r="B16" s="109">
        <f>(B15*100)/$P$15</f>
        <v>7.3275862068965516</v>
      </c>
      <c r="C16" s="109">
        <f t="shared" ref="C16:O16" si="5">(C15*100)/$P$15</f>
        <v>0.43103448275862066</v>
      </c>
      <c r="D16" s="109">
        <f t="shared" si="5"/>
        <v>73.706896551724142</v>
      </c>
      <c r="E16" s="301">
        <f t="shared" si="5"/>
        <v>22.844827586206897</v>
      </c>
      <c r="F16" s="301">
        <f t="shared" si="5"/>
        <v>50.862068965517238</v>
      </c>
      <c r="G16" s="109">
        <f t="shared" si="5"/>
        <v>0</v>
      </c>
      <c r="H16" s="109">
        <f t="shared" si="5"/>
        <v>0</v>
      </c>
      <c r="I16" s="109">
        <f t="shared" si="5"/>
        <v>2.5862068965517242</v>
      </c>
      <c r="J16" s="109">
        <f t="shared" si="5"/>
        <v>0</v>
      </c>
      <c r="K16" s="109">
        <f t="shared" si="5"/>
        <v>4.7413793103448274</v>
      </c>
      <c r="L16" s="109">
        <f t="shared" si="5"/>
        <v>3.4482758620689653</v>
      </c>
      <c r="M16" s="109">
        <f t="shared" si="5"/>
        <v>7.7586206896551726</v>
      </c>
      <c r="N16" s="109">
        <f t="shared" si="5"/>
        <v>0</v>
      </c>
      <c r="O16" s="109">
        <f t="shared" si="5"/>
        <v>0</v>
      </c>
      <c r="P16" s="110">
        <f>SUM(B16:O16)-E16-F16</f>
        <v>100</v>
      </c>
      <c r="Q16" s="342"/>
      <c r="S16" s="10">
        <v>25500</v>
      </c>
      <c r="T16" s="156" t="s">
        <v>10</v>
      </c>
      <c r="U16" s="348">
        <f>K5+K24</f>
        <v>2412</v>
      </c>
      <c r="V16" s="351">
        <f t="shared" si="1"/>
        <v>16.884844242212111</v>
      </c>
      <c r="W16" s="348">
        <f>K10+K29</f>
        <v>579.78</v>
      </c>
      <c r="X16" s="349">
        <f t="shared" si="2"/>
        <v>3.5243677894011234</v>
      </c>
      <c r="Y16" s="352">
        <f>K15+K34</f>
        <v>62</v>
      </c>
      <c r="Z16" s="349">
        <f t="shared" si="3"/>
        <v>7.5887392900856794</v>
      </c>
    </row>
    <row r="17" spans="1:26" x14ac:dyDescent="0.2">
      <c r="A17" s="342"/>
      <c r="B17" s="342"/>
      <c r="C17" s="342"/>
      <c r="D17" s="342"/>
      <c r="G17" s="342"/>
      <c r="H17" s="342"/>
      <c r="I17" s="342"/>
      <c r="J17" s="342"/>
      <c r="K17" s="342"/>
      <c r="N17" s="342"/>
      <c r="O17" s="342"/>
      <c r="P17" s="342"/>
      <c r="Q17" s="342"/>
      <c r="S17" s="10">
        <v>25600</v>
      </c>
      <c r="T17" s="156" t="s">
        <v>11</v>
      </c>
      <c r="U17" s="348">
        <f>L5+L24</f>
        <v>3022</v>
      </c>
      <c r="V17" s="351">
        <f t="shared" si="1"/>
        <v>21.155057752887643</v>
      </c>
      <c r="W17" s="348">
        <f>L10+L29</f>
        <v>527.5</v>
      </c>
      <c r="X17" s="349">
        <f t="shared" si="2"/>
        <v>3.2065680239213021</v>
      </c>
      <c r="Y17" s="352">
        <f>L15+L34</f>
        <v>49</v>
      </c>
      <c r="Z17" s="349">
        <f t="shared" si="3"/>
        <v>5.9975520195838437</v>
      </c>
    </row>
    <row r="18" spans="1:26" x14ac:dyDescent="0.2">
      <c r="A18" s="342"/>
      <c r="B18" s="342"/>
      <c r="C18" s="342"/>
      <c r="D18" s="342"/>
      <c r="G18" s="342"/>
      <c r="H18" s="342"/>
      <c r="I18" s="342"/>
      <c r="J18" s="342"/>
      <c r="K18" s="342"/>
      <c r="N18" s="342"/>
      <c r="O18" s="342"/>
      <c r="P18" s="342"/>
      <c r="Q18" s="342"/>
      <c r="S18" s="10">
        <v>25610</v>
      </c>
      <c r="T18" s="156" t="s">
        <v>12</v>
      </c>
      <c r="U18" s="350">
        <v>0</v>
      </c>
      <c r="V18" s="351">
        <f t="shared" si="1"/>
        <v>0</v>
      </c>
      <c r="W18" s="350">
        <v>0</v>
      </c>
      <c r="X18" s="349">
        <f t="shared" si="2"/>
        <v>0</v>
      </c>
      <c r="Y18" s="353">
        <v>0</v>
      </c>
      <c r="Z18" s="349">
        <f t="shared" si="3"/>
        <v>0</v>
      </c>
    </row>
    <row r="19" spans="1:26" x14ac:dyDescent="0.2">
      <c r="A19" s="342"/>
      <c r="B19" s="342"/>
      <c r="C19" s="342"/>
      <c r="D19" s="342"/>
      <c r="G19" s="342"/>
      <c r="H19" s="342"/>
      <c r="I19" s="342"/>
      <c r="J19" s="342"/>
      <c r="K19" s="342"/>
      <c r="N19" s="342"/>
      <c r="O19" s="342"/>
      <c r="P19" s="342"/>
      <c r="Q19" s="342"/>
      <c r="S19" s="10">
        <v>25700</v>
      </c>
      <c r="T19" s="156" t="s">
        <v>13</v>
      </c>
      <c r="U19" s="348">
        <f>M5+M24</f>
        <v>1515</v>
      </c>
      <c r="V19" s="351">
        <f t="shared" si="1"/>
        <v>10.605530276513825</v>
      </c>
      <c r="W19" s="348">
        <f>M10+M29</f>
        <v>933</v>
      </c>
      <c r="X19" s="349">
        <f t="shared" si="2"/>
        <v>5.6715222110304735</v>
      </c>
      <c r="Y19" s="352">
        <f>M15+M34</f>
        <v>27</v>
      </c>
      <c r="Z19" s="349">
        <f t="shared" si="3"/>
        <v>3.3047735618115057</v>
      </c>
    </row>
    <row r="20" spans="1:26" ht="14.1" customHeight="1" x14ac:dyDescent="0.25">
      <c r="A20" s="101"/>
      <c r="B20" s="3"/>
      <c r="C20" s="3"/>
      <c r="D20" s="3"/>
      <c r="E20" s="265"/>
      <c r="F20" s="265"/>
      <c r="G20" s="342"/>
      <c r="H20" s="342"/>
      <c r="I20" s="342"/>
      <c r="J20" s="342"/>
      <c r="K20" s="342"/>
      <c r="N20" s="342"/>
      <c r="O20" s="342"/>
      <c r="P20" s="342"/>
      <c r="Q20" s="342"/>
      <c r="S20" s="10">
        <v>25800</v>
      </c>
      <c r="T20" s="156" t="s">
        <v>14</v>
      </c>
      <c r="U20" s="348">
        <f>N5+N24</f>
        <v>1427</v>
      </c>
      <c r="V20" s="351">
        <f t="shared" si="1"/>
        <v>9.9894994749737496</v>
      </c>
      <c r="W20" s="348">
        <f>N10+N29</f>
        <v>184</v>
      </c>
      <c r="X20" s="349">
        <f t="shared" si="2"/>
        <v>1.1184995571592788</v>
      </c>
      <c r="Y20" s="352">
        <f>N15+N34</f>
        <v>15</v>
      </c>
      <c r="Z20" s="349">
        <f t="shared" si="3"/>
        <v>1.8359853121175032</v>
      </c>
    </row>
    <row r="21" spans="1:26" ht="14.1" customHeight="1" x14ac:dyDescent="0.25">
      <c r="A21" s="101"/>
      <c r="B21" s="3"/>
      <c r="C21" s="3"/>
      <c r="D21" s="3"/>
      <c r="E21" s="265"/>
      <c r="F21" s="265"/>
      <c r="G21" s="342"/>
      <c r="H21" s="342"/>
      <c r="I21" s="342"/>
      <c r="J21" s="342"/>
      <c r="K21" s="342"/>
      <c r="N21" s="342"/>
      <c r="O21" s="342"/>
      <c r="P21" s="342"/>
      <c r="Q21" s="342"/>
      <c r="S21" s="10">
        <v>25810</v>
      </c>
      <c r="T21" s="156" t="s">
        <v>15</v>
      </c>
      <c r="U21" s="348">
        <f>O5+O24</f>
        <v>0</v>
      </c>
      <c r="V21" s="351">
        <f t="shared" si="1"/>
        <v>0</v>
      </c>
      <c r="W21" s="348">
        <f>O10+O29</f>
        <v>0</v>
      </c>
      <c r="X21" s="349">
        <f t="shared" si="2"/>
        <v>0</v>
      </c>
      <c r="Y21" s="352">
        <f>O15+O34</f>
        <v>21</v>
      </c>
      <c r="Z21" s="349">
        <f t="shared" si="3"/>
        <v>2.5703794369645041</v>
      </c>
    </row>
    <row r="22" spans="1:26" s="48" customFormat="1" ht="14.1" customHeight="1" x14ac:dyDescent="0.2">
      <c r="A22" s="1385" t="s">
        <v>423</v>
      </c>
      <c r="E22" s="266"/>
      <c r="F22" s="266"/>
      <c r="K22" s="1388" t="s">
        <v>426</v>
      </c>
      <c r="L22" s="266"/>
      <c r="M22" s="266"/>
      <c r="S22" s="43">
        <v>25820</v>
      </c>
      <c r="T22" s="347" t="s">
        <v>16</v>
      </c>
      <c r="U22" s="350">
        <v>0</v>
      </c>
      <c r="V22" s="351">
        <f t="shared" si="1"/>
        <v>0</v>
      </c>
      <c r="W22" s="355">
        <v>0</v>
      </c>
      <c r="X22" s="349">
        <f t="shared" si="2"/>
        <v>0</v>
      </c>
      <c r="Y22" s="354">
        <v>0</v>
      </c>
      <c r="Z22" s="349">
        <f t="shared" si="3"/>
        <v>0</v>
      </c>
    </row>
    <row r="23" spans="1:26" s="49" customFormat="1" ht="14.1" customHeight="1" thickBot="1" x14ac:dyDescent="0.25">
      <c r="A23" s="104" t="s">
        <v>36</v>
      </c>
      <c r="B23" s="88">
        <v>25100</v>
      </c>
      <c r="C23" s="88">
        <v>25150</v>
      </c>
      <c r="D23" s="88">
        <v>25200</v>
      </c>
      <c r="E23" s="267">
        <v>25220</v>
      </c>
      <c r="F23" s="267">
        <v>25230</v>
      </c>
      <c r="G23" s="88">
        <v>25300</v>
      </c>
      <c r="H23" s="88">
        <v>25350</v>
      </c>
      <c r="I23" s="88">
        <v>25351</v>
      </c>
      <c r="J23" s="88">
        <v>25400</v>
      </c>
      <c r="K23" s="88">
        <v>25500</v>
      </c>
      <c r="L23" s="88">
        <v>25600</v>
      </c>
      <c r="M23" s="88">
        <v>25700</v>
      </c>
      <c r="N23" s="88">
        <v>25800</v>
      </c>
      <c r="O23" s="88">
        <v>25810</v>
      </c>
      <c r="P23" s="105" t="s">
        <v>17</v>
      </c>
      <c r="Q23" s="48"/>
      <c r="S23" s="12">
        <v>25830</v>
      </c>
      <c r="T23" s="294" t="s">
        <v>66</v>
      </c>
      <c r="U23" s="360">
        <v>0</v>
      </c>
      <c r="V23" s="361">
        <f t="shared" si="1"/>
        <v>0</v>
      </c>
      <c r="W23" s="360">
        <v>0</v>
      </c>
      <c r="X23" s="362">
        <f t="shared" si="2"/>
        <v>0</v>
      </c>
      <c r="Y23" s="363">
        <v>0</v>
      </c>
      <c r="Z23" s="362">
        <f t="shared" si="3"/>
        <v>0</v>
      </c>
    </row>
    <row r="24" spans="1:26" s="49" customFormat="1" ht="14.1" customHeight="1" thickTop="1" thickBot="1" x14ac:dyDescent="0.25">
      <c r="A24" s="106" t="s">
        <v>68</v>
      </c>
      <c r="B24" s="1392">
        <v>356</v>
      </c>
      <c r="C24" s="1392">
        <v>36</v>
      </c>
      <c r="D24" s="1392">
        <v>997</v>
      </c>
      <c r="E24" s="1393">
        <v>288</v>
      </c>
      <c r="F24" s="1393">
        <v>709</v>
      </c>
      <c r="G24" s="1392">
        <v>62</v>
      </c>
      <c r="H24" s="1392">
        <v>112</v>
      </c>
      <c r="I24" s="1392">
        <v>415</v>
      </c>
      <c r="J24" s="1392">
        <v>1087</v>
      </c>
      <c r="K24" s="1392">
        <v>1153</v>
      </c>
      <c r="L24" s="1392">
        <v>1350</v>
      </c>
      <c r="M24" s="1392">
        <v>1129</v>
      </c>
      <c r="N24" s="1392">
        <v>890</v>
      </c>
      <c r="O24" s="1392">
        <v>0</v>
      </c>
      <c r="P24" s="108">
        <f>SUM(B24:O24)-E24-F24</f>
        <v>7587</v>
      </c>
      <c r="Q24" s="48"/>
      <c r="S24" s="13">
        <v>25000</v>
      </c>
      <c r="T24" s="158" t="s">
        <v>17</v>
      </c>
      <c r="U24" s="372">
        <f t="shared" ref="U24:Z24" si="6">SUM(U6:U23)-U9-U10</f>
        <v>14285</v>
      </c>
      <c r="V24" s="373">
        <f t="shared" si="6"/>
        <v>100</v>
      </c>
      <c r="W24" s="372">
        <f t="shared" si="6"/>
        <v>16450.609999999997</v>
      </c>
      <c r="X24" s="374">
        <f t="shared" si="6"/>
        <v>100.00000000000004</v>
      </c>
      <c r="Y24" s="375">
        <f t="shared" si="6"/>
        <v>817</v>
      </c>
      <c r="Z24" s="374">
        <f t="shared" si="6"/>
        <v>100.00000000000006</v>
      </c>
    </row>
    <row r="25" spans="1:26" s="49" customFormat="1" ht="14.1" customHeight="1" x14ac:dyDescent="0.2">
      <c r="A25" s="106" t="s">
        <v>18</v>
      </c>
      <c r="B25" s="109">
        <f>(B24*100)/$P$24</f>
        <v>4.6922367207064717</v>
      </c>
      <c r="C25" s="109">
        <f t="shared" ref="C25:O25" si="7">(C24*100)/$P$24</f>
        <v>0.47449584816132861</v>
      </c>
      <c r="D25" s="109">
        <f t="shared" si="7"/>
        <v>13.140898906023461</v>
      </c>
      <c r="E25" s="301">
        <f t="shared" si="7"/>
        <v>3.7959667852906289</v>
      </c>
      <c r="F25" s="301">
        <f t="shared" si="7"/>
        <v>9.3449321207328317</v>
      </c>
      <c r="G25" s="109">
        <f t="shared" si="7"/>
        <v>0.8171872940556214</v>
      </c>
      <c r="H25" s="109">
        <f t="shared" si="7"/>
        <v>1.4762093053908001</v>
      </c>
      <c r="I25" s="109">
        <f t="shared" si="7"/>
        <v>5.4698826940819822</v>
      </c>
      <c r="J25" s="109">
        <f t="shared" si="7"/>
        <v>14.327138526426783</v>
      </c>
      <c r="K25" s="109">
        <f t="shared" si="7"/>
        <v>15.197047581389219</v>
      </c>
      <c r="L25" s="109">
        <f t="shared" si="7"/>
        <v>17.793594306049823</v>
      </c>
      <c r="M25" s="109">
        <f t="shared" si="7"/>
        <v>14.880717015948333</v>
      </c>
      <c r="N25" s="109">
        <f t="shared" si="7"/>
        <v>11.730591801766179</v>
      </c>
      <c r="O25" s="109">
        <f t="shared" si="7"/>
        <v>0</v>
      </c>
      <c r="P25" s="208">
        <f>SUM(B25:O25)-E25-F25</f>
        <v>100</v>
      </c>
      <c r="Q25" s="111"/>
      <c r="S25" s="48"/>
      <c r="T25" s="48"/>
      <c r="U25" s="344">
        <f>P5+P24</f>
        <v>14285</v>
      </c>
      <c r="V25" s="345"/>
      <c r="W25" s="346">
        <f>P10+P29</f>
        <v>16450.61</v>
      </c>
      <c r="X25" s="345"/>
      <c r="Y25" s="346">
        <f>P15+P34</f>
        <v>817</v>
      </c>
    </row>
    <row r="26" spans="1:26" s="48" customFormat="1" ht="14.1" customHeight="1" x14ac:dyDescent="0.2">
      <c r="A26" s="80"/>
      <c r="B26" s="112"/>
      <c r="C26" s="112"/>
      <c r="D26" s="112"/>
      <c r="E26" s="269"/>
      <c r="F26" s="269"/>
      <c r="G26" s="112"/>
      <c r="H26" s="112"/>
      <c r="I26" s="112"/>
      <c r="J26" s="112"/>
      <c r="K26" s="112"/>
      <c r="L26" s="112"/>
      <c r="M26" s="112"/>
      <c r="N26" s="112"/>
      <c r="O26" s="112"/>
      <c r="P26" s="112"/>
      <c r="Q26" s="112"/>
    </row>
    <row r="27" spans="1:26" s="48" customFormat="1" ht="14.1" customHeight="1" x14ac:dyDescent="0.2">
      <c r="A27" s="1386" t="s">
        <v>424</v>
      </c>
      <c r="E27" s="266"/>
      <c r="F27" s="266"/>
      <c r="K27" s="1389" t="s">
        <v>426</v>
      </c>
    </row>
    <row r="28" spans="1:26" s="49" customFormat="1" ht="14.1" customHeight="1" x14ac:dyDescent="0.2">
      <c r="A28" s="104" t="s">
        <v>36</v>
      </c>
      <c r="B28" s="88">
        <v>25100</v>
      </c>
      <c r="C28" s="88">
        <v>25150</v>
      </c>
      <c r="D28" s="88">
        <v>25200</v>
      </c>
      <c r="E28" s="267">
        <v>25220</v>
      </c>
      <c r="F28" s="267">
        <v>25230</v>
      </c>
      <c r="G28" s="88">
        <v>25300</v>
      </c>
      <c r="H28" s="88">
        <v>25350</v>
      </c>
      <c r="I28" s="88">
        <v>25351</v>
      </c>
      <c r="J28" s="88">
        <v>25400</v>
      </c>
      <c r="K28" s="88">
        <v>25500</v>
      </c>
      <c r="L28" s="88">
        <v>25600</v>
      </c>
      <c r="M28" s="88">
        <v>25700</v>
      </c>
      <c r="N28" s="88">
        <v>25800</v>
      </c>
      <c r="O28" s="88">
        <v>25810</v>
      </c>
      <c r="P28" s="105" t="s">
        <v>17</v>
      </c>
      <c r="Q28" s="48"/>
    </row>
    <row r="29" spans="1:26" s="49" customFormat="1" ht="14.1" customHeight="1" x14ac:dyDescent="0.2">
      <c r="A29" s="106" t="s">
        <v>68</v>
      </c>
      <c r="B29" s="1392">
        <v>230.18</v>
      </c>
      <c r="C29" s="1392">
        <v>619.49</v>
      </c>
      <c r="D29" s="1392">
        <v>1171.04</v>
      </c>
      <c r="E29" s="1393">
        <v>584.64</v>
      </c>
      <c r="F29" s="1393">
        <v>586.4</v>
      </c>
      <c r="G29" s="1392">
        <v>2061.5100000000002</v>
      </c>
      <c r="H29" s="1392">
        <v>544.65</v>
      </c>
      <c r="I29" s="1392">
        <v>502.46</v>
      </c>
      <c r="J29" s="1392">
        <v>4152</v>
      </c>
      <c r="K29" s="1392">
        <v>347.78</v>
      </c>
      <c r="L29" s="1392">
        <v>254.5</v>
      </c>
      <c r="M29" s="1392">
        <v>383</v>
      </c>
      <c r="N29" s="1392">
        <v>31</v>
      </c>
      <c r="O29" s="1392">
        <v>0</v>
      </c>
      <c r="P29" s="108">
        <f>SUM(B29:O29)-E29-F29</f>
        <v>10297.61</v>
      </c>
      <c r="Q29" s="48"/>
      <c r="S29" s="1"/>
      <c r="T29" s="2"/>
      <c r="U29"/>
    </row>
    <row r="30" spans="1:26" s="49" customFormat="1" ht="14.1" customHeight="1" x14ac:dyDescent="0.2">
      <c r="A30" s="106" t="s">
        <v>18</v>
      </c>
      <c r="B30" s="109">
        <f>(B29*100)/$P$29</f>
        <v>2.2352759523811834</v>
      </c>
      <c r="C30" s="109">
        <f t="shared" ref="C30:O30" si="8">(C29*100)/$P$29</f>
        <v>6.0158619330116405</v>
      </c>
      <c r="D30" s="109">
        <f t="shared" si="8"/>
        <v>11.371959124495877</v>
      </c>
      <c r="E30" s="301">
        <f t="shared" si="8"/>
        <v>5.6774338899997181</v>
      </c>
      <c r="F30" s="301">
        <f t="shared" si="8"/>
        <v>5.6945252344961599</v>
      </c>
      <c r="G30" s="109">
        <f t="shared" si="8"/>
        <v>20.019305450488027</v>
      </c>
      <c r="H30" s="109">
        <f t="shared" si="8"/>
        <v>5.2890913522652339</v>
      </c>
      <c r="I30" s="109">
        <f t="shared" si="8"/>
        <v>4.8793846339101981</v>
      </c>
      <c r="J30" s="109">
        <f t="shared" si="8"/>
        <v>40.320035425695863</v>
      </c>
      <c r="K30" s="109">
        <f t="shared" si="8"/>
        <v>3.3772885164615865</v>
      </c>
      <c r="L30" s="109">
        <f t="shared" si="8"/>
        <v>2.4714472581501918</v>
      </c>
      <c r="M30" s="109">
        <f t="shared" si="8"/>
        <v>3.7193096262142378</v>
      </c>
      <c r="N30" s="109">
        <f t="shared" si="8"/>
        <v>0.30104072692595657</v>
      </c>
      <c r="O30" s="109">
        <f t="shared" si="8"/>
        <v>0</v>
      </c>
      <c r="P30" s="110">
        <f>SUM(B30:O30)-E30-F30</f>
        <v>100.00000000000001</v>
      </c>
      <c r="Q30" s="113"/>
      <c r="S30" s="1"/>
      <c r="T30" s="2"/>
      <c r="U30"/>
    </row>
    <row r="31" spans="1:26" s="48" customFormat="1" ht="14.1" customHeight="1" x14ac:dyDescent="0.2">
      <c r="A31" s="80"/>
      <c r="B31" s="112"/>
      <c r="C31" s="112"/>
      <c r="D31" s="112"/>
      <c r="E31" s="269"/>
      <c r="F31" s="269"/>
      <c r="G31" s="112"/>
      <c r="H31" s="112"/>
      <c r="I31" s="112"/>
      <c r="J31" s="112"/>
      <c r="K31" s="112"/>
      <c r="L31" s="112"/>
      <c r="M31" s="112"/>
      <c r="N31" s="112"/>
      <c r="O31" s="112"/>
      <c r="P31" s="112"/>
      <c r="Q31" s="112"/>
      <c r="R31" s="60"/>
      <c r="S31" s="1"/>
      <c r="T31" s="2"/>
      <c r="U31"/>
    </row>
    <row r="32" spans="1:26" s="48" customFormat="1" ht="14.1" customHeight="1" x14ac:dyDescent="0.2">
      <c r="A32" s="1387" t="s">
        <v>425</v>
      </c>
      <c r="E32" s="266"/>
      <c r="F32" s="266"/>
      <c r="K32" s="1390" t="s">
        <v>426</v>
      </c>
      <c r="S32" s="1"/>
      <c r="T32" s="2"/>
      <c r="U32"/>
    </row>
    <row r="33" spans="1:21" s="48" customFormat="1" ht="14.1" customHeight="1" x14ac:dyDescent="0.2">
      <c r="A33" s="104" t="s">
        <v>36</v>
      </c>
      <c r="B33" s="88">
        <v>25100</v>
      </c>
      <c r="C33" s="88">
        <v>25150</v>
      </c>
      <c r="D33" s="88">
        <v>25200</v>
      </c>
      <c r="E33" s="267">
        <v>25220</v>
      </c>
      <c r="F33" s="267">
        <v>25230</v>
      </c>
      <c r="G33" s="88">
        <v>25300</v>
      </c>
      <c r="H33" s="88">
        <v>25350</v>
      </c>
      <c r="I33" s="88">
        <v>25351</v>
      </c>
      <c r="J33" s="88">
        <v>25400</v>
      </c>
      <c r="K33" s="88">
        <v>25500</v>
      </c>
      <c r="L33" s="88">
        <v>25600</v>
      </c>
      <c r="M33" s="88">
        <v>25700</v>
      </c>
      <c r="N33" s="88">
        <v>25800</v>
      </c>
      <c r="O33" s="88">
        <v>25810</v>
      </c>
      <c r="P33" s="105" t="s">
        <v>17</v>
      </c>
      <c r="S33" s="1"/>
      <c r="T33" s="2"/>
      <c r="U33"/>
    </row>
    <row r="34" spans="1:21" s="48" customFormat="1" ht="14.1" customHeight="1" x14ac:dyDescent="0.2">
      <c r="A34" s="106" t="s">
        <v>79</v>
      </c>
      <c r="B34" s="1392">
        <v>0</v>
      </c>
      <c r="C34" s="1392">
        <v>0</v>
      </c>
      <c r="D34" s="1392">
        <v>359</v>
      </c>
      <c r="E34" s="1393">
        <v>151</v>
      </c>
      <c r="F34" s="1393">
        <v>208</v>
      </c>
      <c r="G34" s="1392">
        <v>15</v>
      </c>
      <c r="H34" s="1392">
        <v>20</v>
      </c>
      <c r="I34" s="1392">
        <v>39</v>
      </c>
      <c r="J34" s="1392">
        <v>15</v>
      </c>
      <c r="K34" s="1392">
        <v>51</v>
      </c>
      <c r="L34" s="1392">
        <v>41</v>
      </c>
      <c r="M34" s="1392">
        <v>9</v>
      </c>
      <c r="N34" s="1392">
        <v>15</v>
      </c>
      <c r="O34" s="1392">
        <v>21</v>
      </c>
      <c r="P34" s="108">
        <f>SUM(B34:O34)-E34-F34</f>
        <v>585</v>
      </c>
      <c r="S34" s="1"/>
      <c r="T34" s="2"/>
      <c r="U34"/>
    </row>
    <row r="35" spans="1:21" s="49" customFormat="1" ht="14.1" customHeight="1" x14ac:dyDescent="0.2">
      <c r="A35" s="106" t="s">
        <v>18</v>
      </c>
      <c r="B35" s="109">
        <f>(B34*100)/$P$34</f>
        <v>0</v>
      </c>
      <c r="C35" s="109">
        <f t="shared" ref="C35:O35" si="9">(C34*100)/$P$34</f>
        <v>0</v>
      </c>
      <c r="D35" s="109">
        <f t="shared" si="9"/>
        <v>61.36752136752137</v>
      </c>
      <c r="E35" s="301">
        <f t="shared" si="9"/>
        <v>25.811965811965813</v>
      </c>
      <c r="F35" s="301">
        <f t="shared" si="9"/>
        <v>35.555555555555557</v>
      </c>
      <c r="G35" s="109">
        <f t="shared" si="9"/>
        <v>2.5641025641025643</v>
      </c>
      <c r="H35" s="109">
        <f t="shared" si="9"/>
        <v>3.4188034188034186</v>
      </c>
      <c r="I35" s="109">
        <f t="shared" si="9"/>
        <v>6.666666666666667</v>
      </c>
      <c r="J35" s="109">
        <f t="shared" si="9"/>
        <v>2.5641025641025643</v>
      </c>
      <c r="K35" s="109">
        <f t="shared" si="9"/>
        <v>8.7179487179487172</v>
      </c>
      <c r="L35" s="109">
        <f t="shared" si="9"/>
        <v>7.0085470085470085</v>
      </c>
      <c r="M35" s="109">
        <f t="shared" si="9"/>
        <v>1.5384615384615385</v>
      </c>
      <c r="N35" s="109">
        <f t="shared" si="9"/>
        <v>2.5641025641025643</v>
      </c>
      <c r="O35" s="109">
        <f t="shared" si="9"/>
        <v>3.5897435897435899</v>
      </c>
      <c r="P35" s="110">
        <f>SUM(B35:O35)-E35-F35</f>
        <v>100.00000000000001</v>
      </c>
      <c r="Q35" s="48"/>
      <c r="S35" s="1"/>
      <c r="T35" s="2"/>
      <c r="U35"/>
    </row>
    <row r="36" spans="1:21" ht="14.1" customHeight="1" x14ac:dyDescent="0.25">
      <c r="A36" s="101"/>
      <c r="B36" s="3"/>
      <c r="C36" s="3"/>
      <c r="D36" s="3"/>
      <c r="E36" s="265"/>
      <c r="F36" s="265"/>
      <c r="G36" s="342"/>
      <c r="H36" s="342"/>
      <c r="I36" s="342"/>
      <c r="J36" s="342"/>
      <c r="K36" s="342"/>
      <c r="N36" s="342"/>
      <c r="O36" s="342"/>
      <c r="P36" s="342"/>
      <c r="Q36" s="342"/>
    </row>
    <row r="37" spans="1:21" ht="14.1" customHeight="1" x14ac:dyDescent="0.25">
      <c r="A37" s="101"/>
      <c r="B37" s="3"/>
      <c r="C37" s="3"/>
      <c r="D37" s="3"/>
      <c r="E37" s="265"/>
      <c r="F37" s="265"/>
      <c r="G37" s="342"/>
      <c r="H37" s="342"/>
      <c r="I37" s="342"/>
      <c r="J37" s="342"/>
      <c r="K37" s="342"/>
      <c r="N37" s="342"/>
      <c r="O37" s="342"/>
      <c r="P37" s="342"/>
      <c r="Q37" s="342"/>
    </row>
    <row r="38" spans="1:21" x14ac:dyDescent="0.2">
      <c r="A38" s="342"/>
      <c r="B38" s="342"/>
      <c r="C38" s="342"/>
      <c r="D38" s="342"/>
      <c r="G38" s="342"/>
      <c r="H38" s="342"/>
      <c r="I38" s="342"/>
      <c r="J38" s="342"/>
      <c r="K38" s="342"/>
      <c r="N38" s="342"/>
      <c r="O38" s="342"/>
      <c r="P38" s="342"/>
      <c r="Q38" s="342"/>
    </row>
    <row r="39" spans="1:21" x14ac:dyDescent="0.2">
      <c r="A39" s="342"/>
      <c r="B39" s="342"/>
      <c r="C39" s="342"/>
      <c r="D39" s="342"/>
      <c r="G39" s="342"/>
      <c r="H39" s="342"/>
      <c r="I39" s="342"/>
      <c r="J39" s="342"/>
      <c r="K39" s="342"/>
      <c r="N39" s="342"/>
      <c r="O39" s="342"/>
      <c r="P39" s="342"/>
      <c r="Q39" s="342"/>
    </row>
    <row r="40" spans="1:21" x14ac:dyDescent="0.2">
      <c r="A40" s="342"/>
      <c r="B40" s="342"/>
      <c r="C40" s="342"/>
      <c r="D40" s="342"/>
      <c r="G40" s="342"/>
      <c r="H40" s="342"/>
      <c r="I40" s="342"/>
      <c r="J40" s="342"/>
      <c r="K40" s="342"/>
      <c r="N40" s="342"/>
      <c r="O40" s="342"/>
      <c r="P40" s="342"/>
      <c r="Q40" s="342"/>
    </row>
    <row r="41" spans="1:21" x14ac:dyDescent="0.2">
      <c r="A41" s="342"/>
      <c r="B41" s="342"/>
      <c r="C41" s="342"/>
      <c r="D41" s="342"/>
      <c r="G41" s="342"/>
      <c r="H41" s="342"/>
      <c r="I41" s="342"/>
      <c r="J41" s="342"/>
      <c r="K41" s="342"/>
      <c r="N41" s="342"/>
      <c r="O41" s="342"/>
      <c r="P41" s="342"/>
      <c r="Q41" s="342"/>
    </row>
    <row r="42" spans="1:21" x14ac:dyDescent="0.2">
      <c r="A42" s="342"/>
      <c r="B42" s="342"/>
      <c r="C42" s="342"/>
      <c r="D42" s="342"/>
      <c r="G42" s="342"/>
      <c r="H42" s="342"/>
      <c r="I42" s="342"/>
      <c r="J42" s="342"/>
      <c r="K42" s="342"/>
      <c r="N42" s="342"/>
      <c r="O42" s="342"/>
      <c r="P42" s="342"/>
      <c r="Q42" s="342"/>
    </row>
    <row r="43" spans="1:21" x14ac:dyDescent="0.2">
      <c r="A43" s="342"/>
      <c r="B43" s="342"/>
      <c r="C43" s="342"/>
      <c r="D43" s="342"/>
      <c r="G43" s="342"/>
      <c r="H43" s="342"/>
      <c r="I43" s="342"/>
      <c r="J43" s="342"/>
      <c r="K43" s="342"/>
      <c r="N43" s="342"/>
      <c r="O43" s="342"/>
      <c r="P43" s="342"/>
      <c r="Q43" s="342"/>
    </row>
  </sheetData>
  <mergeCells count="5">
    <mergeCell ref="S4:S5"/>
    <mergeCell ref="T4:T5"/>
    <mergeCell ref="U3:V3"/>
    <mergeCell ref="W3:X3"/>
    <mergeCell ref="Y3:Z3"/>
  </mergeCells>
  <pageMargins left="0.7" right="0.7" top="0.75" bottom="0.75" header="0.3" footer="0.3"/>
  <pageSetup paperSize="9" scale="68" orientation="landscape" r:id="rId1"/>
  <headerFooter>
    <oddFooter>&amp;C&amp;8&amp;A&amp;R&amp;8&amp;F</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Q56"/>
  <sheetViews>
    <sheetView zoomScaleNormal="100" workbookViewId="0"/>
  </sheetViews>
  <sheetFormatPr defaultColWidth="8.85546875" defaultRowHeight="15" customHeight="1" x14ac:dyDescent="0.2"/>
  <cols>
    <col min="1" max="1" width="8.85546875" style="15"/>
    <col min="2" max="2" width="36.140625" style="15" customWidth="1"/>
    <col min="3" max="5" width="10.7109375" style="15" customWidth="1"/>
    <col min="6" max="6" width="12.140625" style="15" customWidth="1"/>
    <col min="7" max="9" width="10.7109375" style="15" customWidth="1"/>
    <col min="10" max="11" width="11.28515625" style="15" customWidth="1"/>
    <col min="12" max="12" width="16.85546875" style="15" customWidth="1"/>
    <col min="13" max="13" width="14.42578125" style="15" customWidth="1"/>
    <col min="14" max="15" width="11.28515625" style="15" customWidth="1"/>
    <col min="16" max="16" width="18.42578125" style="15" customWidth="1"/>
    <col min="17" max="17" width="16.5703125" style="15" customWidth="1"/>
    <col min="18" max="18" width="10.7109375" style="15" customWidth="1"/>
    <col min="19" max="19" width="7" style="15" customWidth="1"/>
    <col min="20" max="21" width="7.140625" style="15" customWidth="1"/>
    <col min="22" max="22" width="9.140625" style="15" customWidth="1"/>
    <col min="23" max="23" width="6.5703125" style="15" customWidth="1"/>
    <col min="24" max="24" width="7.140625" style="15" customWidth="1"/>
    <col min="25" max="16384" width="8.85546875" style="15"/>
  </cols>
  <sheetData>
    <row r="1" spans="1:17" ht="15" customHeight="1" x14ac:dyDescent="0.25">
      <c r="A1" s="100" t="s">
        <v>384</v>
      </c>
      <c r="B1" s="18"/>
    </row>
    <row r="2" spans="1:17" s="8" customFormat="1" ht="14.1" customHeight="1" x14ac:dyDescent="0.2">
      <c r="A2" s="17"/>
      <c r="B2" s="1373" t="s">
        <v>375</v>
      </c>
      <c r="C2" s="1375">
        <f>C3-C4</f>
        <v>1000</v>
      </c>
      <c r="D2" s="1375">
        <f t="shared" ref="D2:H2" si="0">D3-D4</f>
        <v>1000</v>
      </c>
      <c r="E2" s="1375">
        <f t="shared" si="0"/>
        <v>2000</v>
      </c>
      <c r="F2" s="1375">
        <f t="shared" si="0"/>
        <v>1500</v>
      </c>
      <c r="G2" s="1375">
        <f t="shared" si="0"/>
        <v>1500</v>
      </c>
      <c r="H2" s="1375">
        <f t="shared" si="0"/>
        <v>1000</v>
      </c>
    </row>
    <row r="3" spans="1:17" s="8" customFormat="1" ht="14.1" customHeight="1" x14ac:dyDescent="0.2">
      <c r="B3" s="1374" t="s">
        <v>376</v>
      </c>
      <c r="C3" s="1375">
        <v>37000</v>
      </c>
      <c r="D3" s="1375">
        <v>33000</v>
      </c>
      <c r="E3" s="1375">
        <v>30000</v>
      </c>
      <c r="F3" s="1375">
        <v>25600</v>
      </c>
      <c r="G3" s="1375">
        <v>25600</v>
      </c>
      <c r="H3" s="1375">
        <v>22800</v>
      </c>
      <c r="J3" s="1440">
        <v>2023</v>
      </c>
      <c r="K3" s="1440"/>
    </row>
    <row r="4" spans="1:17" s="17" customFormat="1" ht="20.100000000000001" customHeight="1" x14ac:dyDescent="0.2">
      <c r="A4" s="1441" t="s">
        <v>0</v>
      </c>
      <c r="B4" s="1441" t="s">
        <v>47</v>
      </c>
      <c r="C4" s="142">
        <v>36000</v>
      </c>
      <c r="D4" s="142">
        <v>32000</v>
      </c>
      <c r="E4" s="142">
        <v>28000</v>
      </c>
      <c r="F4" s="142">
        <v>24100</v>
      </c>
      <c r="G4" s="142">
        <v>24100</v>
      </c>
      <c r="H4" s="142">
        <v>21800</v>
      </c>
      <c r="I4" s="152">
        <v>8000</v>
      </c>
      <c r="J4" s="1443" t="s">
        <v>48</v>
      </c>
      <c r="K4" s="1445" t="s">
        <v>49</v>
      </c>
      <c r="L4" s="1436" t="s">
        <v>381</v>
      </c>
      <c r="M4" s="1438" t="s">
        <v>385</v>
      </c>
    </row>
    <row r="5" spans="1:17" s="24" customFormat="1" ht="20.100000000000001" customHeight="1" thickBot="1" x14ac:dyDescent="0.25">
      <c r="A5" s="1442"/>
      <c r="B5" s="1442"/>
      <c r="C5" s="140" t="s">
        <v>40</v>
      </c>
      <c r="D5" s="141" t="s">
        <v>41</v>
      </c>
      <c r="E5" s="325" t="s">
        <v>139</v>
      </c>
      <c r="F5" s="141" t="s">
        <v>138</v>
      </c>
      <c r="G5" s="141" t="s">
        <v>42</v>
      </c>
      <c r="H5" s="141" t="s">
        <v>140</v>
      </c>
      <c r="I5" s="151" t="s">
        <v>50</v>
      </c>
      <c r="J5" s="1444"/>
      <c r="K5" s="1446"/>
      <c r="L5" s="1437"/>
      <c r="M5" s="1439"/>
      <c r="N5" s="23"/>
      <c r="O5" s="23"/>
      <c r="P5" s="23"/>
      <c r="Q5" s="23"/>
    </row>
    <row r="6" spans="1:17" s="8" customFormat="1" ht="14.1" customHeight="1" thickTop="1" x14ac:dyDescent="0.2">
      <c r="A6" s="95">
        <v>25100</v>
      </c>
      <c r="B6" s="42" t="s">
        <v>2</v>
      </c>
      <c r="C6" s="19">
        <v>2</v>
      </c>
      <c r="D6" s="19">
        <v>2</v>
      </c>
      <c r="E6" s="19">
        <v>7</v>
      </c>
      <c r="F6" s="19">
        <v>0</v>
      </c>
      <c r="G6" s="19">
        <v>0</v>
      </c>
      <c r="H6" s="19">
        <v>1</v>
      </c>
      <c r="I6" s="25">
        <v>1</v>
      </c>
      <c r="J6" s="26">
        <f t="shared" ref="J6:J19" si="1">((C6*$C$4+D6*$D$4+E6*$E$4+F6*$F$4+G6*$G$4+H6*$H$4+I6*$I$4)*1.1)*1.338</f>
        <v>532497.24000000011</v>
      </c>
      <c r="K6" s="27">
        <f>J6*12</f>
        <v>6389966.8800000008</v>
      </c>
      <c r="L6" s="285">
        <f>(((C6*$C$2+D6*$D$2+E6*$E$2+F6*$F$2+G6*$G$2+H6*$H$2)*7)*1.1)*1.338</f>
        <v>195749.40000000002</v>
      </c>
      <c r="M6" s="285">
        <f>K6+L6</f>
        <v>6585716.2800000012</v>
      </c>
    </row>
    <row r="7" spans="1:17" s="8" customFormat="1" ht="14.1" customHeight="1" x14ac:dyDescent="0.2">
      <c r="A7" s="96">
        <v>25150</v>
      </c>
      <c r="B7" s="16" t="s">
        <v>3</v>
      </c>
      <c r="C7" s="20">
        <v>0</v>
      </c>
      <c r="D7" s="20">
        <v>2</v>
      </c>
      <c r="E7" s="20">
        <v>7</v>
      </c>
      <c r="F7" s="20">
        <v>0</v>
      </c>
      <c r="G7" s="20">
        <v>1</v>
      </c>
      <c r="H7" s="20">
        <v>1</v>
      </c>
      <c r="I7" s="28">
        <v>1</v>
      </c>
      <c r="J7" s="26">
        <f t="shared" si="1"/>
        <v>461998.02</v>
      </c>
      <c r="K7" s="27">
        <f>(J7*12)-((E4*1.1*1.338*8)+(G7*1.1*1.338*8))</f>
        <v>5214281.2656000005</v>
      </c>
      <c r="L7" s="285">
        <f>((((C7*$C$2+D7*$D$2+E7*$E$2+F7*$F$2+G7*$G$2+H7*$H$2)*7)*1.1)*1.338)-(2000*3*1.1*1.338)-(1500*3*1.1*1.338)</f>
        <v>175144.2</v>
      </c>
      <c r="M7" s="285">
        <f t="shared" ref="M7:M19" si="2">K7+L7</f>
        <v>5389425.4656000007</v>
      </c>
      <c r="N7" s="8" t="s">
        <v>382</v>
      </c>
    </row>
    <row r="8" spans="1:17" s="8" customFormat="1" ht="14.1" customHeight="1" x14ac:dyDescent="0.2">
      <c r="A8" s="96">
        <v>25200</v>
      </c>
      <c r="B8" s="16" t="s">
        <v>4</v>
      </c>
      <c r="C8" s="20">
        <v>3</v>
      </c>
      <c r="D8" s="20">
        <v>3</v>
      </c>
      <c r="E8" s="20">
        <v>8</v>
      </c>
      <c r="F8" s="20">
        <v>0</v>
      </c>
      <c r="G8" s="20">
        <v>2</v>
      </c>
      <c r="H8" s="20">
        <v>1</v>
      </c>
      <c r="I8" s="28">
        <v>1</v>
      </c>
      <c r="J8" s="26">
        <f t="shared" si="1"/>
        <v>744730.8</v>
      </c>
      <c r="K8" s="27">
        <f t="shared" ref="K8:K19" si="3">J8*12</f>
        <v>8936769.6000000015</v>
      </c>
      <c r="L8" s="285">
        <f t="shared" ref="L8:L19" si="4">(((C8*$C$2+D8*$D$2+E8*$E$2+F8*$F$2+G8*$G$2+H8*$H$2)*7)*1.1)*1.338</f>
        <v>267867.60000000003</v>
      </c>
      <c r="M8" s="285">
        <f t="shared" si="2"/>
        <v>9204637.2000000011</v>
      </c>
    </row>
    <row r="9" spans="1:17" s="222" customFormat="1" ht="14.1" hidden="1" customHeight="1" x14ac:dyDescent="0.2">
      <c r="A9" s="220"/>
      <c r="B9" s="209" t="s">
        <v>117</v>
      </c>
      <c r="C9" s="209">
        <v>1</v>
      </c>
      <c r="D9" s="209">
        <v>1</v>
      </c>
      <c r="E9" s="209">
        <v>4</v>
      </c>
      <c r="F9" s="209">
        <v>0</v>
      </c>
      <c r="G9" s="209">
        <v>1</v>
      </c>
      <c r="H9" s="209">
        <v>0.5</v>
      </c>
      <c r="I9" s="221">
        <v>0</v>
      </c>
      <c r="J9" s="218">
        <f t="shared" si="1"/>
        <v>316437.00000000006</v>
      </c>
      <c r="K9" s="240">
        <f t="shared" si="3"/>
        <v>3797244.0000000009</v>
      </c>
      <c r="L9" s="285">
        <f t="shared" si="4"/>
        <v>123631.20000000003</v>
      </c>
      <c r="M9" s="285">
        <f t="shared" si="2"/>
        <v>3920875.2000000011</v>
      </c>
    </row>
    <row r="10" spans="1:17" s="222" customFormat="1" ht="14.1" hidden="1" customHeight="1" x14ac:dyDescent="0.2">
      <c r="A10" s="220"/>
      <c r="B10" s="209" t="s">
        <v>118</v>
      </c>
      <c r="C10" s="209">
        <v>2</v>
      </c>
      <c r="D10" s="209">
        <v>2</v>
      </c>
      <c r="E10" s="209">
        <v>4</v>
      </c>
      <c r="F10" s="209">
        <v>0</v>
      </c>
      <c r="G10" s="209">
        <v>1</v>
      </c>
      <c r="H10" s="209">
        <v>0.5</v>
      </c>
      <c r="I10" s="221">
        <v>1</v>
      </c>
      <c r="J10" s="218">
        <f t="shared" si="1"/>
        <v>428293.80000000005</v>
      </c>
      <c r="K10" s="240">
        <f t="shared" si="3"/>
        <v>5139525.6000000006</v>
      </c>
      <c r="L10" s="285">
        <f t="shared" si="4"/>
        <v>144236.40000000002</v>
      </c>
      <c r="M10" s="285">
        <f t="shared" si="2"/>
        <v>5283762.0000000009</v>
      </c>
    </row>
    <row r="11" spans="1:17" s="8" customFormat="1" ht="14.1" customHeight="1" x14ac:dyDescent="0.2">
      <c r="A11" s="96">
        <v>25300</v>
      </c>
      <c r="B11" s="16" t="s">
        <v>5</v>
      </c>
      <c r="C11" s="20">
        <v>1</v>
      </c>
      <c r="D11" s="20">
        <v>2</v>
      </c>
      <c r="E11" s="20">
        <v>6</v>
      </c>
      <c r="F11" s="20">
        <v>0</v>
      </c>
      <c r="G11" s="20">
        <v>1</v>
      </c>
      <c r="H11" s="20">
        <v>1</v>
      </c>
      <c r="I11" s="28">
        <v>1</v>
      </c>
      <c r="J11" s="26">
        <f t="shared" si="1"/>
        <v>473772.42000000004</v>
      </c>
      <c r="K11" s="27">
        <f>(J11*12)-(E11*1.1*1.338*8)</f>
        <v>5685198.393600001</v>
      </c>
      <c r="L11" s="285">
        <f>((((C11*$C$2+D11*$D$2+E11*$E$2+F11*$F$2+G11*$G$2+H11*$H$2)*7)*1.1)*1.338)-(2000*0.5*3*1.1*1.338)</f>
        <v>175880.1</v>
      </c>
      <c r="M11" s="285">
        <f t="shared" si="2"/>
        <v>5861078.4936000006</v>
      </c>
      <c r="N11" s="8" t="s">
        <v>383</v>
      </c>
    </row>
    <row r="12" spans="1:17" s="8" customFormat="1" ht="14.1" customHeight="1" x14ac:dyDescent="0.2">
      <c r="A12" s="96">
        <v>25350</v>
      </c>
      <c r="B12" s="16" t="s">
        <v>6</v>
      </c>
      <c r="C12" s="20">
        <v>2</v>
      </c>
      <c r="D12" s="20">
        <v>3</v>
      </c>
      <c r="E12" s="20">
        <v>3</v>
      </c>
      <c r="F12" s="20">
        <v>0</v>
      </c>
      <c r="G12" s="20">
        <v>0</v>
      </c>
      <c r="H12" s="20">
        <v>1</v>
      </c>
      <c r="I12" s="28">
        <v>1</v>
      </c>
      <c r="J12" s="26">
        <f t="shared" si="1"/>
        <v>414753.24000000005</v>
      </c>
      <c r="K12" s="27">
        <f t="shared" si="3"/>
        <v>4977038.8800000008</v>
      </c>
      <c r="L12" s="285">
        <f t="shared" si="4"/>
        <v>123631.20000000003</v>
      </c>
      <c r="M12" s="285">
        <f t="shared" si="2"/>
        <v>5100670.080000001</v>
      </c>
    </row>
    <row r="13" spans="1:17" s="8" customFormat="1" ht="14.1" customHeight="1" x14ac:dyDescent="0.2">
      <c r="A13" s="96">
        <v>25351</v>
      </c>
      <c r="B13" s="16" t="s">
        <v>43</v>
      </c>
      <c r="C13" s="20">
        <v>1</v>
      </c>
      <c r="D13" s="20">
        <v>2</v>
      </c>
      <c r="E13" s="20">
        <v>5</v>
      </c>
      <c r="F13" s="20">
        <v>0</v>
      </c>
      <c r="G13" s="20">
        <v>0</v>
      </c>
      <c r="H13" s="20">
        <v>0.6</v>
      </c>
      <c r="I13" s="28">
        <v>1</v>
      </c>
      <c r="J13" s="26">
        <f t="shared" si="1"/>
        <v>384257.54399999999</v>
      </c>
      <c r="K13" s="27">
        <f t="shared" si="3"/>
        <v>4611090.5279999999</v>
      </c>
      <c r="L13" s="285">
        <f t="shared" si="4"/>
        <v>140115.36000000002</v>
      </c>
      <c r="M13" s="285">
        <f t="shared" si="2"/>
        <v>4751205.8880000003</v>
      </c>
    </row>
    <row r="14" spans="1:17" s="8" customFormat="1" ht="14.1" customHeight="1" x14ac:dyDescent="0.2">
      <c r="A14" s="96">
        <v>25400</v>
      </c>
      <c r="B14" s="16" t="s">
        <v>9</v>
      </c>
      <c r="C14" s="20">
        <v>1</v>
      </c>
      <c r="D14" s="20">
        <v>4</v>
      </c>
      <c r="E14" s="20">
        <v>11</v>
      </c>
      <c r="F14" s="20">
        <v>0</v>
      </c>
      <c r="G14" s="20">
        <v>2</v>
      </c>
      <c r="H14" s="20">
        <v>1</v>
      </c>
      <c r="I14" s="28">
        <v>1</v>
      </c>
      <c r="J14" s="26">
        <f t="shared" si="1"/>
        <v>809490</v>
      </c>
      <c r="K14" s="27">
        <f t="shared" si="3"/>
        <v>9713880</v>
      </c>
      <c r="L14" s="285">
        <f t="shared" si="4"/>
        <v>319380.60000000003</v>
      </c>
      <c r="M14" s="285">
        <f t="shared" si="2"/>
        <v>10033260.6</v>
      </c>
    </row>
    <row r="15" spans="1:17" s="8" customFormat="1" ht="14.1" customHeight="1" x14ac:dyDescent="0.2">
      <c r="A15" s="96">
        <v>25500</v>
      </c>
      <c r="B15" s="16" t="s">
        <v>10</v>
      </c>
      <c r="C15" s="20">
        <v>0</v>
      </c>
      <c r="D15" s="20">
        <v>4</v>
      </c>
      <c r="E15" s="20">
        <v>10</v>
      </c>
      <c r="F15" s="20">
        <v>0</v>
      </c>
      <c r="G15" s="20">
        <v>2</v>
      </c>
      <c r="H15" s="20">
        <v>1</v>
      </c>
      <c r="I15" s="28">
        <v>1</v>
      </c>
      <c r="J15" s="26">
        <f t="shared" si="1"/>
        <v>715294.8</v>
      </c>
      <c r="K15" s="27">
        <f t="shared" si="3"/>
        <v>8583537.6000000015</v>
      </c>
      <c r="L15" s="285">
        <f t="shared" si="4"/>
        <v>288472.80000000005</v>
      </c>
      <c r="M15" s="285">
        <f t="shared" si="2"/>
        <v>8872010.4000000022</v>
      </c>
    </row>
    <row r="16" spans="1:17" s="8" customFormat="1" ht="14.1" customHeight="1" x14ac:dyDescent="0.2">
      <c r="A16" s="96">
        <v>25600</v>
      </c>
      <c r="B16" s="16" t="s">
        <v>11</v>
      </c>
      <c r="C16" s="20">
        <v>2</v>
      </c>
      <c r="D16" s="20">
        <v>2</v>
      </c>
      <c r="E16" s="20">
        <v>8</v>
      </c>
      <c r="F16" s="20">
        <v>0</v>
      </c>
      <c r="G16" s="20">
        <v>1</v>
      </c>
      <c r="H16" s="20">
        <v>1</v>
      </c>
      <c r="I16" s="28">
        <v>1</v>
      </c>
      <c r="J16" s="26">
        <f t="shared" si="1"/>
        <v>609178.02000000014</v>
      </c>
      <c r="K16" s="27">
        <f t="shared" si="3"/>
        <v>7310136.2400000021</v>
      </c>
      <c r="L16" s="285">
        <f t="shared" si="4"/>
        <v>231808.5</v>
      </c>
      <c r="M16" s="285">
        <f t="shared" si="2"/>
        <v>7541944.7400000021</v>
      </c>
    </row>
    <row r="17" spans="1:14" s="8" customFormat="1" ht="14.1" customHeight="1" x14ac:dyDescent="0.2">
      <c r="A17" s="96">
        <v>25700</v>
      </c>
      <c r="B17" s="16" t="s">
        <v>13</v>
      </c>
      <c r="C17" s="20">
        <v>1</v>
      </c>
      <c r="D17" s="20">
        <v>3</v>
      </c>
      <c r="E17" s="20">
        <v>5</v>
      </c>
      <c r="F17" s="20">
        <v>0</v>
      </c>
      <c r="G17" s="20">
        <v>0</v>
      </c>
      <c r="H17" s="20">
        <v>1</v>
      </c>
      <c r="I17" s="28">
        <v>1</v>
      </c>
      <c r="J17" s="26">
        <f t="shared" si="1"/>
        <v>444189.24000000005</v>
      </c>
      <c r="K17" s="27">
        <f t="shared" si="3"/>
        <v>5330270.8800000008</v>
      </c>
      <c r="L17" s="285">
        <f t="shared" si="4"/>
        <v>154539.00000000003</v>
      </c>
      <c r="M17" s="285">
        <f t="shared" si="2"/>
        <v>5484809.8800000008</v>
      </c>
    </row>
    <row r="18" spans="1:14" s="8" customFormat="1" ht="14.1" customHeight="1" x14ac:dyDescent="0.2">
      <c r="A18" s="96">
        <v>25800</v>
      </c>
      <c r="B18" s="16" t="s">
        <v>14</v>
      </c>
      <c r="C18" s="20">
        <v>4</v>
      </c>
      <c r="D18" s="20">
        <v>3</v>
      </c>
      <c r="E18" s="20">
        <v>5</v>
      </c>
      <c r="F18" s="20">
        <v>0</v>
      </c>
      <c r="G18" s="20">
        <v>0</v>
      </c>
      <c r="H18" s="20">
        <v>1</v>
      </c>
      <c r="I18" s="28">
        <v>1</v>
      </c>
      <c r="J18" s="26">
        <f t="shared" si="1"/>
        <v>603143.64000000013</v>
      </c>
      <c r="K18" s="27">
        <f t="shared" si="3"/>
        <v>7237723.6800000016</v>
      </c>
      <c r="L18" s="285">
        <f t="shared" si="4"/>
        <v>185446.80000000002</v>
      </c>
      <c r="M18" s="285">
        <f t="shared" si="2"/>
        <v>7423170.4800000014</v>
      </c>
    </row>
    <row r="19" spans="1:14" s="8" customFormat="1" ht="14.1" customHeight="1" thickBot="1" x14ac:dyDescent="0.25">
      <c r="A19" s="97">
        <v>25810</v>
      </c>
      <c r="B19" s="47" t="s">
        <v>15</v>
      </c>
      <c r="C19" s="21">
        <v>0</v>
      </c>
      <c r="D19" s="21">
        <v>2</v>
      </c>
      <c r="E19" s="21">
        <v>3</v>
      </c>
      <c r="F19" s="21">
        <v>0</v>
      </c>
      <c r="G19" s="21">
        <v>1</v>
      </c>
      <c r="H19" s="21">
        <v>0.4</v>
      </c>
      <c r="I19" s="29">
        <v>1</v>
      </c>
      <c r="J19" s="30">
        <f t="shared" si="1"/>
        <v>277905.27600000007</v>
      </c>
      <c r="K19" s="31">
        <f t="shared" si="3"/>
        <v>3334863.3120000008</v>
      </c>
      <c r="L19" s="286">
        <f t="shared" si="4"/>
        <v>101995.74</v>
      </c>
      <c r="M19" s="286">
        <f t="shared" si="2"/>
        <v>3436859.0520000011</v>
      </c>
    </row>
    <row r="20" spans="1:14" s="8" customFormat="1" ht="14.1" customHeight="1" thickTop="1" x14ac:dyDescent="0.2">
      <c r="A20" s="98">
        <v>25000</v>
      </c>
      <c r="B20" s="99" t="s">
        <v>44</v>
      </c>
      <c r="C20" s="126">
        <f t="shared" ref="C20:M20" si="5">C6+C7+C8+C11+C12+C13+C14+C15+C16+C17+C18+C19</f>
        <v>17</v>
      </c>
      <c r="D20" s="126">
        <f t="shared" si="5"/>
        <v>32</v>
      </c>
      <c r="E20" s="960">
        <f t="shared" si="5"/>
        <v>78</v>
      </c>
      <c r="F20" s="126">
        <f t="shared" si="5"/>
        <v>0</v>
      </c>
      <c r="G20" s="126">
        <f t="shared" si="5"/>
        <v>10</v>
      </c>
      <c r="H20" s="126">
        <f t="shared" si="5"/>
        <v>11</v>
      </c>
      <c r="I20" s="153">
        <f t="shared" si="5"/>
        <v>12</v>
      </c>
      <c r="J20" s="129">
        <f t="shared" si="5"/>
        <v>6471210.2400000021</v>
      </c>
      <c r="K20" s="130">
        <f t="shared" si="5"/>
        <v>77324757.259200022</v>
      </c>
      <c r="L20" s="1377">
        <f t="shared" si="5"/>
        <v>2360031.3000000003</v>
      </c>
      <c r="M20" s="1377">
        <f t="shared" si="5"/>
        <v>79684788.559200019</v>
      </c>
    </row>
    <row r="21" spans="1:14" s="14" customFormat="1" ht="14.1" customHeight="1" x14ac:dyDescent="0.2">
      <c r="A21" s="32"/>
      <c r="B21" s="22"/>
      <c r="C21" s="33"/>
      <c r="D21" s="33"/>
      <c r="E21" s="33"/>
      <c r="F21" s="33"/>
      <c r="G21" s="33"/>
      <c r="H21" s="33"/>
      <c r="I21" s="33"/>
      <c r="J21" s="34"/>
      <c r="K21" s="34"/>
    </row>
    <row r="22" spans="1:14" s="14" customFormat="1" ht="14.1" customHeight="1" x14ac:dyDescent="0.2">
      <c r="A22" s="32"/>
      <c r="B22" s="1373" t="s">
        <v>375</v>
      </c>
      <c r="C22" s="1375">
        <f>C23-C24</f>
        <v>1000</v>
      </c>
      <c r="D22" s="1375">
        <f t="shared" ref="D22:H22" si="6">D23-D24</f>
        <v>1000</v>
      </c>
      <c r="E22" s="1375">
        <f t="shared" si="6"/>
        <v>2000</v>
      </c>
      <c r="F22" s="1375">
        <f t="shared" si="6"/>
        <v>1500</v>
      </c>
      <c r="G22" s="1375">
        <f t="shared" si="6"/>
        <v>1500</v>
      </c>
      <c r="H22" s="1375">
        <f t="shared" si="6"/>
        <v>1000</v>
      </c>
      <c r="I22" s="33"/>
      <c r="J22" s="34"/>
      <c r="K22" s="34"/>
    </row>
    <row r="23" spans="1:14" s="14" customFormat="1" ht="14.1" customHeight="1" x14ac:dyDescent="0.2">
      <c r="A23" s="32"/>
      <c r="B23" s="1374" t="s">
        <v>376</v>
      </c>
      <c r="C23" s="1375">
        <v>37000</v>
      </c>
      <c r="D23" s="1375">
        <v>33000</v>
      </c>
      <c r="E23" s="1375">
        <v>30000</v>
      </c>
      <c r="F23" s="1375">
        <v>25600</v>
      </c>
      <c r="G23" s="1375">
        <v>25600</v>
      </c>
      <c r="H23" s="1375">
        <v>22800</v>
      </c>
      <c r="I23" s="33"/>
      <c r="J23" s="1440">
        <v>2023</v>
      </c>
      <c r="K23" s="1440"/>
    </row>
    <row r="24" spans="1:14" s="139" customFormat="1" ht="14.1" customHeight="1" x14ac:dyDescent="0.2">
      <c r="A24" s="1441" t="s">
        <v>0</v>
      </c>
      <c r="B24" s="1441" t="s">
        <v>47</v>
      </c>
      <c r="C24" s="142">
        <v>36000</v>
      </c>
      <c r="D24" s="142">
        <v>32000</v>
      </c>
      <c r="E24" s="142">
        <v>28000</v>
      </c>
      <c r="F24" s="142">
        <v>24100</v>
      </c>
      <c r="G24" s="142">
        <v>24100</v>
      </c>
      <c r="H24" s="142">
        <v>21800</v>
      </c>
      <c r="I24" s="152">
        <v>4000</v>
      </c>
      <c r="J24" s="1443" t="s">
        <v>48</v>
      </c>
      <c r="K24" s="1445" t="s">
        <v>49</v>
      </c>
      <c r="L24" s="1436" t="s">
        <v>381</v>
      </c>
      <c r="M24" s="1438" t="s">
        <v>385</v>
      </c>
    </row>
    <row r="25" spans="1:14" s="139" customFormat="1" ht="24" customHeight="1" thickBot="1" x14ac:dyDescent="0.25">
      <c r="A25" s="1442"/>
      <c r="B25" s="1442"/>
      <c r="C25" s="140" t="s">
        <v>40</v>
      </c>
      <c r="D25" s="141" t="s">
        <v>41</v>
      </c>
      <c r="E25" s="325" t="s">
        <v>141</v>
      </c>
      <c r="F25" s="325" t="s">
        <v>142</v>
      </c>
      <c r="G25" s="141" t="s">
        <v>42</v>
      </c>
      <c r="H25" s="141" t="s">
        <v>143</v>
      </c>
      <c r="I25" s="151" t="s">
        <v>50</v>
      </c>
      <c r="J25" s="1444"/>
      <c r="K25" s="1446"/>
      <c r="L25" s="1437"/>
      <c r="M25" s="1439"/>
    </row>
    <row r="26" spans="1:14" s="8" customFormat="1" ht="14.1" customHeight="1" thickTop="1" x14ac:dyDescent="0.2">
      <c r="A26" s="127">
        <v>25352</v>
      </c>
      <c r="B26" s="55" t="s">
        <v>8</v>
      </c>
      <c r="C26" s="44">
        <v>0</v>
      </c>
      <c r="D26" s="45">
        <v>0</v>
      </c>
      <c r="E26" s="45">
        <v>1.5</v>
      </c>
      <c r="F26" s="45">
        <v>0</v>
      </c>
      <c r="G26" s="45">
        <v>0</v>
      </c>
      <c r="H26" s="45">
        <v>0</v>
      </c>
      <c r="I26" s="46">
        <v>0</v>
      </c>
      <c r="J26" s="26">
        <f>((C26*$C$4+D26*$D$4+E26*$E$4+F26*$F$4+G26*$G$4+H26*$H$4+I26*$I$24)*1.1)*1.338</f>
        <v>61815.600000000013</v>
      </c>
      <c r="K26" s="27">
        <f>J26*12</f>
        <v>741787.20000000019</v>
      </c>
      <c r="L26" s="193">
        <f>(((C26*$C$22+D26*$D$22+E26*$E$22+F26*$F$22+G26*$G$22+H26*$H$22)*1.1)*7)*1.338</f>
        <v>30907.800000000007</v>
      </c>
      <c r="M26" s="1379">
        <f>K26+L26</f>
        <v>772695.00000000023</v>
      </c>
    </row>
    <row r="27" spans="1:14" s="8" customFormat="1" ht="14.1" customHeight="1" x14ac:dyDescent="0.2">
      <c r="A27" s="96">
        <v>25610</v>
      </c>
      <c r="B27" s="16" t="s">
        <v>12</v>
      </c>
      <c r="C27" s="20">
        <v>0</v>
      </c>
      <c r="D27" s="20">
        <v>0</v>
      </c>
      <c r="E27" s="20">
        <v>0.5</v>
      </c>
      <c r="F27" s="20">
        <v>0</v>
      </c>
      <c r="G27" s="20">
        <v>0</v>
      </c>
      <c r="H27" s="20">
        <v>0</v>
      </c>
      <c r="I27" s="28">
        <v>0</v>
      </c>
      <c r="J27" s="26">
        <f>((C27*$C$4+D27*$D$4+E27*$E$4+F27*$F$4+G27*$G$4+H27*$H$4+I27*$I$24)*1.1)*1.338</f>
        <v>20605.200000000004</v>
      </c>
      <c r="K27" s="27">
        <f>J27*12</f>
        <v>247262.40000000005</v>
      </c>
      <c r="L27" s="193">
        <f>(((C27*$C$22+D27*$D$22+E27*$E$22+F27*$F$22+G27*$G$22+H27*$H$22)*1.1)*7)*1.338</f>
        <v>10302.6</v>
      </c>
      <c r="M27" s="1380">
        <f t="shared" ref="M27:M29" si="7">K27+L27</f>
        <v>257565.00000000006</v>
      </c>
    </row>
    <row r="28" spans="1:14" s="8" customFormat="1" ht="14.1" customHeight="1" x14ac:dyDescent="0.2">
      <c r="A28" s="96">
        <v>25820</v>
      </c>
      <c r="B28" s="16" t="s">
        <v>16</v>
      </c>
      <c r="C28" s="20">
        <v>0</v>
      </c>
      <c r="D28" s="20">
        <v>0</v>
      </c>
      <c r="E28" s="20">
        <v>3</v>
      </c>
      <c r="F28" s="20">
        <v>0</v>
      </c>
      <c r="G28" s="20">
        <v>0</v>
      </c>
      <c r="H28" s="20">
        <v>0</v>
      </c>
      <c r="I28" s="28">
        <v>1</v>
      </c>
      <c r="J28" s="26">
        <f>((C28*$C$4+D28*$D$4+E28*$E$4+F28*$F$4+G28*$G$4+H28*$H$4+I28*$I$24)*1.1)*1.338</f>
        <v>129518.40000000002</v>
      </c>
      <c r="K28" s="27">
        <f>J28*12</f>
        <v>1554220.8000000003</v>
      </c>
      <c r="L28" s="193">
        <f>(((C28*$C$22+D28*$D$22+E28*$E$22+F28*$F$22+G28*$G$22+H28*$H$22)*1.1)*7)*1.338</f>
        <v>61815.600000000013</v>
      </c>
      <c r="M28" s="1380">
        <f t="shared" si="7"/>
        <v>1616036.4000000004</v>
      </c>
    </row>
    <row r="29" spans="1:14" s="8" customFormat="1" ht="14.1" customHeight="1" thickBot="1" x14ac:dyDescent="0.25">
      <c r="A29" s="97">
        <v>25830</v>
      </c>
      <c r="B29" s="56" t="s">
        <v>66</v>
      </c>
      <c r="C29" s="21">
        <v>0</v>
      </c>
      <c r="D29" s="21">
        <v>0</v>
      </c>
      <c r="E29" s="21">
        <v>0.5</v>
      </c>
      <c r="F29" s="21">
        <v>0</v>
      </c>
      <c r="G29" s="21">
        <v>0</v>
      </c>
      <c r="H29" s="21">
        <v>0</v>
      </c>
      <c r="I29" s="29">
        <v>0</v>
      </c>
      <c r="J29" s="30">
        <f>((C29*$C$4+D29*$D$4+E29*$E$4+F29*$F$4+G29*$G$4+H29*$H$4+I29*$I$4)*1.1)*1.338</f>
        <v>20605.200000000004</v>
      </c>
      <c r="K29" s="31">
        <f>J29*12</f>
        <v>247262.40000000005</v>
      </c>
      <c r="L29" s="1378">
        <f>(((C29*$C$22+D29*$D$22+E29*$E$22+F29*$F$22+G29*$G$22+H29*$H$22)*1.1)*7)*1.338</f>
        <v>10302.6</v>
      </c>
      <c r="M29" s="1381">
        <f t="shared" si="7"/>
        <v>257565.00000000006</v>
      </c>
    </row>
    <row r="30" spans="1:14" s="8" customFormat="1" ht="14.1" customHeight="1" thickTop="1" x14ac:dyDescent="0.2">
      <c r="A30" s="98">
        <v>25000</v>
      </c>
      <c r="B30" s="99" t="s">
        <v>45</v>
      </c>
      <c r="C30" s="128">
        <f t="shared" ref="C30:M30" si="8">SUM(C26:C29)</f>
        <v>0</v>
      </c>
      <c r="D30" s="128">
        <f t="shared" si="8"/>
        <v>0</v>
      </c>
      <c r="E30" s="128">
        <f t="shared" si="8"/>
        <v>5.5</v>
      </c>
      <c r="F30" s="128">
        <f t="shared" si="8"/>
        <v>0</v>
      </c>
      <c r="G30" s="128">
        <f t="shared" si="8"/>
        <v>0</v>
      </c>
      <c r="H30" s="128">
        <f t="shared" si="8"/>
        <v>0</v>
      </c>
      <c r="I30" s="154">
        <f t="shared" si="8"/>
        <v>1</v>
      </c>
      <c r="J30" s="129">
        <f t="shared" si="8"/>
        <v>232544.40000000005</v>
      </c>
      <c r="K30" s="130">
        <f t="shared" si="8"/>
        <v>2790532.8000000003</v>
      </c>
      <c r="L30" s="130">
        <f t="shared" si="8"/>
        <v>113328.60000000003</v>
      </c>
      <c r="M30" s="130">
        <f t="shared" si="8"/>
        <v>2903861.4000000004</v>
      </c>
    </row>
    <row r="31" spans="1:14" s="14" customFormat="1" ht="14.1" customHeight="1" x14ac:dyDescent="0.2">
      <c r="A31" s="32"/>
      <c r="B31" s="22"/>
      <c r="C31" s="22"/>
      <c r="D31" s="22"/>
      <c r="E31" s="22"/>
      <c r="F31" s="22"/>
      <c r="G31" s="22"/>
      <c r="H31" s="22"/>
      <c r="I31" s="22"/>
      <c r="J31" s="34"/>
      <c r="K31" s="34"/>
      <c r="L31" s="162"/>
    </row>
    <row r="32" spans="1:14" s="14" customFormat="1" ht="14.1" customHeight="1" x14ac:dyDescent="0.2">
      <c r="A32" s="32"/>
      <c r="B32" s="22"/>
      <c r="C32" s="22"/>
      <c r="D32" s="22"/>
      <c r="E32" s="22"/>
      <c r="F32" s="22"/>
      <c r="G32" s="22"/>
      <c r="H32" s="22"/>
      <c r="I32" s="22"/>
      <c r="J32" s="33"/>
      <c r="K32" s="33"/>
      <c r="L32" s="35"/>
      <c r="M32" s="163"/>
      <c r="N32" s="39"/>
    </row>
    <row r="33" spans="1:17" s="14" customFormat="1" ht="14.1" customHeight="1" x14ac:dyDescent="0.2">
      <c r="A33" s="32"/>
      <c r="B33" s="1373" t="s">
        <v>375</v>
      </c>
      <c r="C33" s="1375">
        <f>C34-C35</f>
        <v>1500</v>
      </c>
      <c r="D33" s="1375">
        <f t="shared" ref="D33" si="9">D34-D35</f>
        <v>1000</v>
      </c>
      <c r="E33" s="1375">
        <f t="shared" ref="E33" si="10">E34-E35</f>
        <v>1000</v>
      </c>
      <c r="F33" s="1375">
        <f t="shared" ref="F33" si="11">F34-F35</f>
        <v>1500</v>
      </c>
      <c r="G33" s="1375">
        <f t="shared" ref="G33" si="12">G34-G35</f>
        <v>2000</v>
      </c>
      <c r="H33" s="1375">
        <f t="shared" ref="H33" si="13">H34-H35</f>
        <v>1000</v>
      </c>
      <c r="I33" s="22"/>
      <c r="J33" s="33"/>
      <c r="K33" s="33"/>
      <c r="L33" s="35"/>
      <c r="N33" s="39"/>
    </row>
    <row r="34" spans="1:17" s="14" customFormat="1" ht="14.1" customHeight="1" x14ac:dyDescent="0.2">
      <c r="A34" s="32"/>
      <c r="B34" s="1374" t="s">
        <v>376</v>
      </c>
      <c r="C34" s="1375">
        <v>17800</v>
      </c>
      <c r="D34" s="1375">
        <v>18900</v>
      </c>
      <c r="E34" s="1375">
        <v>22800</v>
      </c>
      <c r="F34" s="1375">
        <v>25600</v>
      </c>
      <c r="G34" s="1375">
        <v>30000</v>
      </c>
      <c r="H34" s="1375">
        <v>33000</v>
      </c>
      <c r="I34" s="22"/>
      <c r="J34" s="33"/>
      <c r="K34" s="33"/>
      <c r="L34" s="35"/>
      <c r="N34" s="1440">
        <v>2023</v>
      </c>
      <c r="O34" s="1440"/>
    </row>
    <row r="35" spans="1:17" s="147" customFormat="1" ht="14.1" customHeight="1" x14ac:dyDescent="0.15">
      <c r="A35" s="1441" t="s">
        <v>0</v>
      </c>
      <c r="B35" s="1447" t="s">
        <v>47</v>
      </c>
      <c r="C35" s="143">
        <v>16300</v>
      </c>
      <c r="D35" s="143">
        <v>17900</v>
      </c>
      <c r="E35" s="143">
        <v>21800</v>
      </c>
      <c r="F35" s="144">
        <v>24100</v>
      </c>
      <c r="G35" s="143">
        <v>28000</v>
      </c>
      <c r="H35" s="143">
        <v>32000</v>
      </c>
      <c r="I35" s="1449" t="s">
        <v>135</v>
      </c>
      <c r="J35" s="1453" t="s">
        <v>147</v>
      </c>
      <c r="K35" s="1455" t="s">
        <v>98</v>
      </c>
      <c r="L35" s="145"/>
      <c r="M35" s="146"/>
      <c r="N35" s="1451" t="s">
        <v>48</v>
      </c>
      <c r="O35" s="1443" t="s">
        <v>49</v>
      </c>
      <c r="P35" s="1436" t="s">
        <v>381</v>
      </c>
      <c r="Q35" s="1438" t="s">
        <v>385</v>
      </c>
    </row>
    <row r="36" spans="1:17" s="147" customFormat="1" ht="26.25" customHeight="1" thickBot="1" x14ac:dyDescent="0.2">
      <c r="A36" s="1442"/>
      <c r="B36" s="1448"/>
      <c r="C36" s="148" t="s">
        <v>148</v>
      </c>
      <c r="D36" s="148" t="s">
        <v>149</v>
      </c>
      <c r="E36" s="148" t="s">
        <v>140</v>
      </c>
      <c r="F36" s="149" t="s">
        <v>144</v>
      </c>
      <c r="G36" s="148" t="s">
        <v>145</v>
      </c>
      <c r="H36" s="148" t="s">
        <v>146</v>
      </c>
      <c r="I36" s="1450"/>
      <c r="J36" s="1454"/>
      <c r="K36" s="1456"/>
      <c r="L36" s="150" t="s">
        <v>99</v>
      </c>
      <c r="M36" s="151" t="s">
        <v>151</v>
      </c>
      <c r="N36" s="1452"/>
      <c r="O36" s="1444"/>
      <c r="P36" s="1437"/>
      <c r="Q36" s="1439"/>
    </row>
    <row r="37" spans="1:17" s="59" customFormat="1" ht="14.1" customHeight="1" thickTop="1" x14ac:dyDescent="0.2">
      <c r="A37" s="98" t="s">
        <v>51</v>
      </c>
      <c r="B37" s="99" t="s">
        <v>52</v>
      </c>
      <c r="C37" s="164">
        <v>0</v>
      </c>
      <c r="D37" s="164">
        <f>6-1</f>
        <v>5</v>
      </c>
      <c r="E37" s="1376">
        <f>9-1+0.5</f>
        <v>8.5</v>
      </c>
      <c r="F37" s="164">
        <f>8.7+1</f>
        <v>9.6999999999999993</v>
      </c>
      <c r="G37" s="164">
        <v>4</v>
      </c>
      <c r="H37" s="164">
        <v>1</v>
      </c>
      <c r="I37" s="165">
        <f>(C37*C35)+(D37*D35)+(E37*E35)+(F37*F35)+(G37*G35)+(H37*H35)</f>
        <v>652570</v>
      </c>
      <c r="J37" s="166">
        <f>I37*0.3</f>
        <v>195771</v>
      </c>
      <c r="K37" s="167">
        <v>60000</v>
      </c>
      <c r="L37" s="167">
        <f>3750000+250000</f>
        <v>4000000</v>
      </c>
      <c r="M37" s="168">
        <v>642000</v>
      </c>
      <c r="N37" s="300">
        <f>((I37+J37+K37)*1.1)*1.338</f>
        <v>1336896.2838000001</v>
      </c>
      <c r="O37" s="299">
        <f>(N37*12)+(L37*1.338)+M37</f>
        <v>22036755.4056</v>
      </c>
      <c r="P37" s="1377">
        <f>(((C37*C33+D37*D33+E37*E33+F37*F33+G37*G33+H37*H33)*1.1)*1.338)*7</f>
        <v>381711.33</v>
      </c>
      <c r="Q37" s="1377">
        <f>O37+P37</f>
        <v>22418466.735599998</v>
      </c>
    </row>
    <row r="38" spans="1:17" s="313" customFormat="1" ht="11.25" x14ac:dyDescent="0.2">
      <c r="A38" s="312"/>
      <c r="B38" s="312"/>
      <c r="C38" s="312"/>
      <c r="D38" s="22"/>
      <c r="E38" s="312"/>
      <c r="G38" s="312"/>
      <c r="H38" s="312"/>
      <c r="I38" s="314"/>
      <c r="J38" s="314"/>
      <c r="K38" s="314"/>
      <c r="L38" s="314"/>
      <c r="M38" s="314"/>
      <c r="N38" s="315"/>
      <c r="O38" s="315"/>
      <c r="P38" s="316"/>
    </row>
    <row r="39" spans="1:17" s="313" customFormat="1" ht="11.25" x14ac:dyDescent="0.2">
      <c r="A39" s="312"/>
      <c r="B39" s="312"/>
      <c r="C39" s="312"/>
      <c r="D39" s="22"/>
      <c r="E39" s="312"/>
      <c r="F39" s="326"/>
      <c r="G39" s="312"/>
      <c r="H39" s="312"/>
      <c r="I39" s="314"/>
      <c r="J39" s="314"/>
      <c r="K39" s="314"/>
      <c r="L39" s="314"/>
      <c r="M39" s="314"/>
      <c r="N39" s="315"/>
      <c r="O39" s="315"/>
      <c r="P39" s="316"/>
    </row>
    <row r="40" spans="1:17" s="313" customFormat="1" ht="11.25" x14ac:dyDescent="0.2">
      <c r="A40" s="312" t="s">
        <v>378</v>
      </c>
      <c r="B40" s="312"/>
      <c r="C40" s="312"/>
      <c r="D40" s="22"/>
      <c r="E40" s="312"/>
      <c r="F40" s="326"/>
      <c r="G40" s="312"/>
      <c r="H40" s="312"/>
      <c r="I40" s="314"/>
      <c r="J40" s="314"/>
      <c r="K40" s="314"/>
      <c r="L40" s="314"/>
      <c r="M40" s="314"/>
      <c r="N40" s="315"/>
      <c r="O40" s="315"/>
      <c r="P40" s="316"/>
    </row>
    <row r="41" spans="1:17" s="14" customFormat="1" ht="11.25" x14ac:dyDescent="0.2">
      <c r="A41" s="37" t="s">
        <v>377</v>
      </c>
      <c r="B41" s="22"/>
      <c r="C41" s="22"/>
      <c r="D41" s="22"/>
      <c r="E41" s="22"/>
      <c r="G41" s="22"/>
      <c r="H41" s="22"/>
      <c r="I41" s="22"/>
      <c r="J41" s="22"/>
      <c r="K41" s="33"/>
      <c r="L41" s="33"/>
      <c r="M41" s="35"/>
    </row>
    <row r="42" spans="1:17" s="14" customFormat="1" ht="14.1" customHeight="1" x14ac:dyDescent="0.2">
      <c r="A42" s="14" t="s">
        <v>53</v>
      </c>
      <c r="B42" s="22"/>
      <c r="C42" s="22"/>
      <c r="D42" s="22"/>
      <c r="E42" s="22"/>
      <c r="F42" s="22"/>
      <c r="G42" s="22"/>
      <c r="H42" s="22"/>
      <c r="I42" s="22"/>
      <c r="J42" s="22"/>
      <c r="K42" s="33"/>
      <c r="L42" s="33"/>
      <c r="M42" s="35"/>
    </row>
    <row r="43" spans="1:17" s="14" customFormat="1" ht="14.1" customHeight="1" x14ac:dyDescent="0.2">
      <c r="A43" s="37" t="s">
        <v>150</v>
      </c>
      <c r="B43" s="22"/>
      <c r="C43" s="22"/>
      <c r="D43" s="22"/>
      <c r="E43" s="22"/>
      <c r="F43" s="22"/>
      <c r="G43" s="22"/>
      <c r="H43" s="22"/>
      <c r="I43" s="22"/>
      <c r="J43" s="22"/>
      <c r="K43" s="33"/>
      <c r="L43" s="33"/>
      <c r="M43" s="35"/>
    </row>
    <row r="44" spans="1:17" s="14" customFormat="1" ht="14.1" customHeight="1" x14ac:dyDescent="0.2">
      <c r="A44" s="37" t="s">
        <v>54</v>
      </c>
      <c r="B44" s="22"/>
      <c r="C44" s="22"/>
      <c r="D44" s="22"/>
      <c r="E44" s="22"/>
      <c r="F44" s="22"/>
      <c r="G44" s="22"/>
      <c r="H44" s="22"/>
      <c r="I44" s="22"/>
      <c r="J44" s="22"/>
      <c r="K44" s="33"/>
      <c r="L44" s="33"/>
      <c r="M44" s="35"/>
    </row>
    <row r="45" spans="1:17" s="14" customFormat="1" ht="14.1" customHeight="1" x14ac:dyDescent="0.2">
      <c r="A45" s="37"/>
      <c r="B45" s="22"/>
      <c r="C45" s="22"/>
      <c r="D45" s="22"/>
      <c r="E45" s="22"/>
      <c r="F45" s="22"/>
      <c r="G45" s="22"/>
      <c r="H45" s="22"/>
      <c r="I45" s="22"/>
      <c r="J45" s="22"/>
      <c r="K45" s="33"/>
      <c r="L45" s="33"/>
      <c r="M45" s="35"/>
    </row>
    <row r="46" spans="1:17" s="14" customFormat="1" ht="14.1" customHeight="1" x14ac:dyDescent="0.2">
      <c r="A46" s="32"/>
      <c r="B46" s="22"/>
      <c r="C46" s="22"/>
      <c r="D46" s="22"/>
      <c r="E46" s="22"/>
      <c r="F46" s="22"/>
      <c r="G46" s="22"/>
      <c r="H46" s="22"/>
      <c r="I46" s="22"/>
      <c r="J46" s="22"/>
      <c r="K46" s="33"/>
      <c r="L46" s="33"/>
      <c r="M46" s="35"/>
    </row>
    <row r="47" spans="1:17" s="57" customFormat="1" ht="37.5" customHeight="1" thickBot="1" x14ac:dyDescent="0.25">
      <c r="A47" s="94" t="s">
        <v>0</v>
      </c>
      <c r="B47" s="271" t="s">
        <v>379</v>
      </c>
      <c r="C47" s="58"/>
      <c r="D47" s="322" t="s">
        <v>327</v>
      </c>
      <c r="E47" s="322" t="s">
        <v>380</v>
      </c>
    </row>
    <row r="48" spans="1:17" s="14" customFormat="1" ht="14.1" customHeight="1" thickTop="1" x14ac:dyDescent="0.2">
      <c r="A48" s="42" t="s">
        <v>55</v>
      </c>
      <c r="B48" s="272">
        <f>M20</f>
        <v>79684788.559200019</v>
      </c>
      <c r="C48" s="22"/>
      <c r="D48" s="318">
        <f>[3]Garantovana_mista_2022!$B$47</f>
        <v>75382063.680000007</v>
      </c>
      <c r="E48" s="321">
        <f>B48*100/D48-100</f>
        <v>5.70788947549282</v>
      </c>
      <c r="I48" s="36"/>
      <c r="J48" s="36"/>
    </row>
    <row r="49" spans="1:15" s="14" customFormat="1" ht="14.1" customHeight="1" x14ac:dyDescent="0.2">
      <c r="A49" s="16" t="s">
        <v>56</v>
      </c>
      <c r="B49" s="273">
        <f>M30</f>
        <v>2903861.4000000004</v>
      </c>
      <c r="D49" s="317">
        <f>[3]Garantovana_mista_2022!$B$48</f>
        <v>2790532.8000000003</v>
      </c>
      <c r="E49" s="320">
        <f>B49*100/D49-100</f>
        <v>4.0611814345991633</v>
      </c>
      <c r="I49" s="36"/>
      <c r="J49" s="36"/>
    </row>
    <row r="50" spans="1:15" s="14" customFormat="1" ht="14.1" customHeight="1" thickBot="1" x14ac:dyDescent="0.25">
      <c r="A50" s="47" t="s">
        <v>57</v>
      </c>
      <c r="B50" s="274">
        <f>Q37</f>
        <v>22418466.735599998</v>
      </c>
      <c r="D50" s="319">
        <f>[3]Garantovana_mista_2022!$B$49</f>
        <v>21286677.957600001</v>
      </c>
      <c r="E50" s="323">
        <f>B50*100/D50-100</f>
        <v>5.3168877748531713</v>
      </c>
      <c r="I50" s="36"/>
      <c r="J50" s="36"/>
    </row>
    <row r="51" spans="1:15" s="14" customFormat="1" ht="14.1" customHeight="1" thickTop="1" x14ac:dyDescent="0.2">
      <c r="A51" s="99" t="s">
        <v>17</v>
      </c>
      <c r="B51" s="275">
        <f>SUM(B48:B50)</f>
        <v>105007116.69480002</v>
      </c>
      <c r="D51" s="318">
        <f>SUM(D48:D50)</f>
        <v>99459274.437600002</v>
      </c>
      <c r="E51" s="324" t="s">
        <v>137</v>
      </c>
      <c r="I51" s="36"/>
      <c r="J51" s="36"/>
      <c r="K51" s="38"/>
    </row>
    <row r="52" spans="1:15" s="14" customFormat="1" ht="15" customHeight="1" x14ac:dyDescent="0.2">
      <c r="B52" s="162"/>
      <c r="I52" s="36"/>
      <c r="J52" s="39"/>
    </row>
    <row r="53" spans="1:15" s="14" customFormat="1" ht="15" customHeight="1" x14ac:dyDescent="0.2">
      <c r="K53" s="36"/>
      <c r="L53" s="36"/>
      <c r="M53" s="40"/>
      <c r="N53" s="40"/>
      <c r="O53" s="40"/>
    </row>
    <row r="54" spans="1:15" s="14" customFormat="1" ht="15" customHeight="1" x14ac:dyDescent="0.2">
      <c r="K54" s="36"/>
      <c r="L54" s="39"/>
    </row>
    <row r="55" spans="1:15" s="41" customFormat="1" ht="15" customHeight="1" x14ac:dyDescent="0.2"/>
    <row r="56" spans="1:15" s="41" customFormat="1" ht="15" customHeight="1" x14ac:dyDescent="0.2"/>
  </sheetData>
  <mergeCells count="24">
    <mergeCell ref="A35:A36"/>
    <mergeCell ref="B35:B36"/>
    <mergeCell ref="I35:I36"/>
    <mergeCell ref="N35:N36"/>
    <mergeCell ref="O35:O36"/>
    <mergeCell ref="J35:J36"/>
    <mergeCell ref="K35:K36"/>
    <mergeCell ref="A4:A5"/>
    <mergeCell ref="B4:B5"/>
    <mergeCell ref="J4:J5"/>
    <mergeCell ref="K4:K5"/>
    <mergeCell ref="A24:A25"/>
    <mergeCell ref="B24:B25"/>
    <mergeCell ref="J24:J25"/>
    <mergeCell ref="K24:K25"/>
    <mergeCell ref="P35:P36"/>
    <mergeCell ref="Q35:Q36"/>
    <mergeCell ref="J3:K3"/>
    <mergeCell ref="J23:K23"/>
    <mergeCell ref="N34:O34"/>
    <mergeCell ref="L4:L5"/>
    <mergeCell ref="M4:M5"/>
    <mergeCell ref="L24:L25"/>
    <mergeCell ref="M24:M25"/>
  </mergeCells>
  <pageMargins left="0.7" right="0.7" top="0.75" bottom="0.75" header="0.3" footer="0.3"/>
  <pageSetup paperSize="9" scale="52" orientation="landscape" r:id="rId1"/>
  <headerFooter alignWithMargins="0">
    <oddFooter>&amp;C&amp;8&amp;A&amp;R&amp;8&amp;F</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J141"/>
  <sheetViews>
    <sheetView zoomScale="120" zoomScaleNormal="120" workbookViewId="0"/>
  </sheetViews>
  <sheetFormatPr defaultRowHeight="12.75" x14ac:dyDescent="0.2"/>
  <cols>
    <col min="1" max="1" width="14.140625" customWidth="1"/>
    <col min="2" max="2" width="18.7109375" customWidth="1"/>
    <col min="3" max="3" width="15" customWidth="1"/>
    <col min="4" max="6" width="13.7109375" customWidth="1"/>
    <col min="7" max="7" width="26.140625" style="1402" bestFit="1" customWidth="1"/>
    <col min="8" max="8" width="14.28515625" style="1402" bestFit="1" customWidth="1"/>
    <col min="9" max="9" width="12.85546875" style="1402" bestFit="1" customWidth="1"/>
    <col min="10" max="10" width="9.140625" style="1402"/>
  </cols>
  <sheetData>
    <row r="1" spans="1:10" ht="15" x14ac:dyDescent="0.25">
      <c r="A1" s="102" t="s">
        <v>374</v>
      </c>
    </row>
    <row r="2" spans="1:10" ht="15" x14ac:dyDescent="0.25">
      <c r="A2" s="102"/>
    </row>
    <row r="3" spans="1:10" s="49" customFormat="1" ht="11.25" x14ac:dyDescent="0.2">
      <c r="A3" s="196" t="s">
        <v>112</v>
      </c>
      <c r="D3" s="199">
        <v>3000</v>
      </c>
      <c r="G3" s="1390"/>
      <c r="H3" s="1390"/>
      <c r="I3" s="1390"/>
      <c r="J3" s="1390"/>
    </row>
    <row r="4" spans="1:10" s="49" customFormat="1" ht="11.25" x14ac:dyDescent="0.2">
      <c r="A4" s="196" t="s">
        <v>116</v>
      </c>
      <c r="D4" s="77">
        <v>12</v>
      </c>
      <c r="E4" s="77"/>
      <c r="F4" s="202"/>
      <c r="G4" s="1390"/>
      <c r="H4" s="1390"/>
      <c r="I4" s="1390"/>
      <c r="J4" s="1390"/>
    </row>
    <row r="5" spans="1:10" s="49" customFormat="1" ht="11.25" x14ac:dyDescent="0.2">
      <c r="D5" s="201"/>
      <c r="G5" s="1390"/>
      <c r="H5" s="1390"/>
      <c r="I5" s="1390"/>
      <c r="J5" s="1390"/>
    </row>
    <row r="6" spans="1:10" s="49" customFormat="1" ht="23.25" thickBot="1" x14ac:dyDescent="0.25">
      <c r="A6" s="195" t="s">
        <v>111</v>
      </c>
      <c r="B6" s="195" t="s">
        <v>110</v>
      </c>
      <c r="C6" s="200" t="s">
        <v>113</v>
      </c>
      <c r="D6" s="200" t="s">
        <v>133</v>
      </c>
      <c r="E6" s="200" t="s">
        <v>114</v>
      </c>
      <c r="F6" s="200" t="s">
        <v>115</v>
      </c>
      <c r="G6" s="1384"/>
      <c r="H6" s="1390"/>
      <c r="I6" s="1390"/>
      <c r="J6" s="1390"/>
    </row>
    <row r="7" spans="1:10" s="49" customFormat="1" ht="12" thickTop="1" x14ac:dyDescent="0.2">
      <c r="A7" s="327"/>
      <c r="B7" s="95">
        <v>1</v>
      </c>
      <c r="C7" s="198">
        <f>B7*$D$3</f>
        <v>3000</v>
      </c>
      <c r="D7" s="198">
        <f>C7*$D$4</f>
        <v>36000</v>
      </c>
      <c r="E7" s="198">
        <f>D7*0.338</f>
        <v>12168</v>
      </c>
      <c r="F7" s="197">
        <f>D7+E7</f>
        <v>48168</v>
      </c>
      <c r="G7" s="1390"/>
      <c r="H7" s="1390"/>
      <c r="I7" s="1390"/>
      <c r="J7" s="1390"/>
    </row>
    <row r="8" spans="1:10" s="49" customFormat="1" ht="11.25" x14ac:dyDescent="0.2">
      <c r="A8" s="327"/>
      <c r="B8" s="95">
        <v>1</v>
      </c>
      <c r="C8" s="198">
        <f>B8*$D$3</f>
        <v>3000</v>
      </c>
      <c r="D8" s="198">
        <f t="shared" ref="D8:D43" si="0">C8*$D$4</f>
        <v>36000</v>
      </c>
      <c r="E8" s="198">
        <f t="shared" ref="E8:E43" si="1">D8*0.338</f>
        <v>12168</v>
      </c>
      <c r="F8" s="197">
        <f t="shared" ref="F8:F43" si="2">D8+E8</f>
        <v>48168</v>
      </c>
      <c r="G8" s="1390"/>
      <c r="H8" s="1390"/>
      <c r="I8" s="1390"/>
      <c r="J8" s="1390"/>
    </row>
    <row r="9" spans="1:10" s="49" customFormat="1" ht="11.25" x14ac:dyDescent="0.2">
      <c r="A9" s="327"/>
      <c r="B9" s="95">
        <v>1</v>
      </c>
      <c r="C9" s="198">
        <f>B9*$D$3</f>
        <v>3000</v>
      </c>
      <c r="D9" s="198">
        <f t="shared" si="0"/>
        <v>36000</v>
      </c>
      <c r="E9" s="198">
        <f t="shared" si="1"/>
        <v>12168</v>
      </c>
      <c r="F9" s="197">
        <f t="shared" si="2"/>
        <v>48168</v>
      </c>
      <c r="G9" s="1390"/>
      <c r="H9" s="1390"/>
      <c r="I9" s="1390"/>
      <c r="J9" s="1390"/>
    </row>
    <row r="10" spans="1:10" s="49" customFormat="1" ht="11.25" x14ac:dyDescent="0.2">
      <c r="A10" s="88"/>
      <c r="B10" s="95">
        <v>1</v>
      </c>
      <c r="C10" s="198">
        <f t="shared" ref="C10:C43" si="3">B10*$D$3</f>
        <v>3000</v>
      </c>
      <c r="D10" s="198">
        <f t="shared" si="0"/>
        <v>36000</v>
      </c>
      <c r="E10" s="198">
        <f t="shared" si="1"/>
        <v>12168</v>
      </c>
      <c r="F10" s="197">
        <f t="shared" si="2"/>
        <v>48168</v>
      </c>
      <c r="G10" s="1390"/>
      <c r="H10" s="1390"/>
      <c r="I10" s="1390"/>
      <c r="J10" s="1390"/>
    </row>
    <row r="11" spans="1:10" s="49" customFormat="1" ht="11.25" x14ac:dyDescent="0.2">
      <c r="A11" s="88"/>
      <c r="B11" s="95">
        <v>1</v>
      </c>
      <c r="C11" s="198">
        <f t="shared" si="3"/>
        <v>3000</v>
      </c>
      <c r="D11" s="198">
        <f t="shared" si="0"/>
        <v>36000</v>
      </c>
      <c r="E11" s="198">
        <f t="shared" si="1"/>
        <v>12168</v>
      </c>
      <c r="F11" s="197">
        <f t="shared" si="2"/>
        <v>48168</v>
      </c>
      <c r="G11" s="1390"/>
      <c r="H11" s="1390"/>
      <c r="I11" s="1390"/>
      <c r="J11" s="1390"/>
    </row>
    <row r="12" spans="1:10" s="49" customFormat="1" ht="11.25" x14ac:dyDescent="0.2">
      <c r="A12" s="88"/>
      <c r="B12" s="95">
        <v>2</v>
      </c>
      <c r="C12" s="198">
        <f t="shared" si="3"/>
        <v>6000</v>
      </c>
      <c r="D12" s="198">
        <f t="shared" si="0"/>
        <v>72000</v>
      </c>
      <c r="E12" s="198">
        <f t="shared" si="1"/>
        <v>24336</v>
      </c>
      <c r="F12" s="197">
        <f t="shared" si="2"/>
        <v>96336</v>
      </c>
      <c r="G12" s="1390"/>
      <c r="H12" s="1390"/>
      <c r="I12" s="1390"/>
      <c r="J12" s="1390"/>
    </row>
    <row r="13" spans="1:10" s="49" customFormat="1" ht="11.25" x14ac:dyDescent="0.2">
      <c r="A13" s="88"/>
      <c r="B13" s="95">
        <v>2</v>
      </c>
      <c r="C13" s="198">
        <f t="shared" si="3"/>
        <v>6000</v>
      </c>
      <c r="D13" s="198">
        <f t="shared" si="0"/>
        <v>72000</v>
      </c>
      <c r="E13" s="198">
        <f t="shared" si="1"/>
        <v>24336</v>
      </c>
      <c r="F13" s="197">
        <f t="shared" si="2"/>
        <v>96336</v>
      </c>
      <c r="G13" s="1390"/>
      <c r="H13" s="1390"/>
      <c r="I13" s="1390"/>
      <c r="J13" s="1390"/>
    </row>
    <row r="14" spans="1:10" s="49" customFormat="1" ht="11.25" x14ac:dyDescent="0.2">
      <c r="A14" s="88"/>
      <c r="B14" s="95">
        <v>1</v>
      </c>
      <c r="C14" s="198">
        <v>3000</v>
      </c>
      <c r="D14" s="198">
        <f t="shared" si="0"/>
        <v>36000</v>
      </c>
      <c r="E14" s="198">
        <f t="shared" si="1"/>
        <v>12168</v>
      </c>
      <c r="F14" s="197">
        <f t="shared" si="2"/>
        <v>48168</v>
      </c>
      <c r="G14" s="1390"/>
      <c r="H14" s="1390"/>
      <c r="I14" s="1390"/>
      <c r="J14" s="1390"/>
    </row>
    <row r="15" spans="1:10" s="49" customFormat="1" ht="11.25" x14ac:dyDescent="0.2">
      <c r="A15" s="88"/>
      <c r="B15" s="95">
        <v>1</v>
      </c>
      <c r="C15" s="198">
        <f t="shared" si="3"/>
        <v>3000</v>
      </c>
      <c r="D15" s="198">
        <f t="shared" si="0"/>
        <v>36000</v>
      </c>
      <c r="E15" s="198">
        <f t="shared" si="1"/>
        <v>12168</v>
      </c>
      <c r="F15" s="197">
        <f t="shared" si="2"/>
        <v>48168</v>
      </c>
      <c r="G15" s="1390"/>
      <c r="H15" s="1390"/>
      <c r="I15" s="1390"/>
      <c r="J15" s="1390"/>
    </row>
    <row r="16" spans="1:10" s="49" customFormat="1" ht="11.25" x14ac:dyDescent="0.2">
      <c r="A16" s="88"/>
      <c r="B16" s="95">
        <v>2</v>
      </c>
      <c r="C16" s="198">
        <f t="shared" si="3"/>
        <v>6000</v>
      </c>
      <c r="D16" s="198">
        <f t="shared" si="0"/>
        <v>72000</v>
      </c>
      <c r="E16" s="198">
        <f t="shared" si="1"/>
        <v>24336</v>
      </c>
      <c r="F16" s="197">
        <f t="shared" si="2"/>
        <v>96336</v>
      </c>
      <c r="G16" s="1390"/>
      <c r="H16" s="1390"/>
      <c r="I16" s="1390"/>
      <c r="J16" s="1390"/>
    </row>
    <row r="17" spans="1:10" s="49" customFormat="1" ht="11.25" x14ac:dyDescent="0.2">
      <c r="A17" s="88"/>
      <c r="B17" s="95">
        <v>1</v>
      </c>
      <c r="C17" s="198">
        <f t="shared" si="3"/>
        <v>3000</v>
      </c>
      <c r="D17" s="198">
        <f t="shared" si="0"/>
        <v>36000</v>
      </c>
      <c r="E17" s="198">
        <f t="shared" si="1"/>
        <v>12168</v>
      </c>
      <c r="F17" s="197">
        <f t="shared" si="2"/>
        <v>48168</v>
      </c>
      <c r="G17" s="1390"/>
      <c r="H17" s="1390"/>
      <c r="I17" s="1390"/>
      <c r="J17" s="1390"/>
    </row>
    <row r="18" spans="1:10" s="49" customFormat="1" ht="11.25" x14ac:dyDescent="0.2">
      <c r="A18" s="88"/>
      <c r="B18" s="95">
        <v>1</v>
      </c>
      <c r="C18" s="198">
        <f t="shared" si="3"/>
        <v>3000</v>
      </c>
      <c r="D18" s="198">
        <f t="shared" si="0"/>
        <v>36000</v>
      </c>
      <c r="E18" s="198">
        <f t="shared" si="1"/>
        <v>12168</v>
      </c>
      <c r="F18" s="197">
        <f t="shared" si="2"/>
        <v>48168</v>
      </c>
      <c r="G18" s="1390"/>
      <c r="H18" s="1390"/>
      <c r="I18" s="1390"/>
      <c r="J18" s="1390"/>
    </row>
    <row r="19" spans="1:10" s="49" customFormat="1" ht="11.25" x14ac:dyDescent="0.2">
      <c r="A19" s="88"/>
      <c r="B19" s="95">
        <v>2</v>
      </c>
      <c r="C19" s="198">
        <f t="shared" si="3"/>
        <v>6000</v>
      </c>
      <c r="D19" s="198">
        <f t="shared" si="0"/>
        <v>72000</v>
      </c>
      <c r="E19" s="198">
        <f t="shared" si="1"/>
        <v>24336</v>
      </c>
      <c r="F19" s="197">
        <f t="shared" si="2"/>
        <v>96336</v>
      </c>
      <c r="G19" s="1390"/>
      <c r="H19" s="1390"/>
      <c r="I19" s="1390"/>
      <c r="J19" s="1390"/>
    </row>
    <row r="20" spans="1:10" s="49" customFormat="1" ht="11.25" x14ac:dyDescent="0.2">
      <c r="A20" s="88"/>
      <c r="B20" s="95">
        <v>1</v>
      </c>
      <c r="C20" s="198">
        <f t="shared" si="3"/>
        <v>3000</v>
      </c>
      <c r="D20" s="198">
        <f t="shared" si="0"/>
        <v>36000</v>
      </c>
      <c r="E20" s="198">
        <f t="shared" si="1"/>
        <v>12168</v>
      </c>
      <c r="F20" s="197">
        <f t="shared" si="2"/>
        <v>48168</v>
      </c>
      <c r="G20" s="1390"/>
      <c r="H20" s="1390"/>
      <c r="I20" s="1390"/>
      <c r="J20" s="1390"/>
    </row>
    <row r="21" spans="1:10" s="49" customFormat="1" ht="11.25" x14ac:dyDescent="0.2">
      <c r="A21" s="88"/>
      <c r="B21" s="95">
        <v>1</v>
      </c>
      <c r="C21" s="198">
        <f t="shared" si="3"/>
        <v>3000</v>
      </c>
      <c r="D21" s="198">
        <f t="shared" si="0"/>
        <v>36000</v>
      </c>
      <c r="E21" s="198">
        <f t="shared" si="1"/>
        <v>12168</v>
      </c>
      <c r="F21" s="197">
        <f t="shared" si="2"/>
        <v>48168</v>
      </c>
      <c r="G21" s="1390"/>
      <c r="H21" s="1390"/>
      <c r="I21" s="1390"/>
      <c r="J21" s="1390"/>
    </row>
    <row r="22" spans="1:10" s="49" customFormat="1" ht="11.25" x14ac:dyDescent="0.2">
      <c r="A22" s="88"/>
      <c r="B22" s="95">
        <v>1</v>
      </c>
      <c r="C22" s="198">
        <f t="shared" si="3"/>
        <v>3000</v>
      </c>
      <c r="D22" s="198">
        <f t="shared" si="0"/>
        <v>36000</v>
      </c>
      <c r="E22" s="198">
        <f t="shared" si="1"/>
        <v>12168</v>
      </c>
      <c r="F22" s="197">
        <f t="shared" si="2"/>
        <v>48168</v>
      </c>
      <c r="G22" s="1390"/>
      <c r="H22" s="1390"/>
      <c r="I22" s="1390"/>
      <c r="J22" s="1390"/>
    </row>
    <row r="23" spans="1:10" s="49" customFormat="1" ht="11.25" x14ac:dyDescent="0.2">
      <c r="A23" s="88"/>
      <c r="B23" s="95">
        <v>1</v>
      </c>
      <c r="C23" s="198">
        <f t="shared" si="3"/>
        <v>3000</v>
      </c>
      <c r="D23" s="198">
        <f t="shared" si="0"/>
        <v>36000</v>
      </c>
      <c r="E23" s="198">
        <f t="shared" si="1"/>
        <v>12168</v>
      </c>
      <c r="F23" s="197">
        <f t="shared" si="2"/>
        <v>48168</v>
      </c>
      <c r="G23" s="1390"/>
      <c r="H23" s="1390"/>
      <c r="I23" s="1390"/>
      <c r="J23" s="1390"/>
    </row>
    <row r="24" spans="1:10" s="49" customFormat="1" ht="11.25" x14ac:dyDescent="0.2">
      <c r="A24" s="88"/>
      <c r="B24" s="95">
        <v>2</v>
      </c>
      <c r="C24" s="198">
        <f t="shared" si="3"/>
        <v>6000</v>
      </c>
      <c r="D24" s="198">
        <f t="shared" si="0"/>
        <v>72000</v>
      </c>
      <c r="E24" s="198">
        <f t="shared" si="1"/>
        <v>24336</v>
      </c>
      <c r="F24" s="197">
        <f t="shared" si="2"/>
        <v>96336</v>
      </c>
      <c r="G24" s="1390"/>
      <c r="H24" s="1390"/>
      <c r="I24" s="1390"/>
      <c r="J24" s="1390"/>
    </row>
    <row r="25" spans="1:10" s="1399" customFormat="1" ht="11.25" x14ac:dyDescent="0.2">
      <c r="A25" s="1391"/>
      <c r="B25" s="1396">
        <v>1</v>
      </c>
      <c r="C25" s="198">
        <f t="shared" si="3"/>
        <v>3000</v>
      </c>
      <c r="D25" s="198">
        <f t="shared" si="0"/>
        <v>36000</v>
      </c>
      <c r="E25" s="198">
        <f t="shared" si="1"/>
        <v>12168</v>
      </c>
      <c r="F25" s="197">
        <f t="shared" si="2"/>
        <v>48168</v>
      </c>
      <c r="G25" s="1390"/>
      <c r="H25" s="1390"/>
      <c r="I25" s="1390"/>
      <c r="J25" s="1390"/>
    </row>
    <row r="26" spans="1:10" s="49" customFormat="1" ht="11.25" x14ac:dyDescent="0.2">
      <c r="A26" s="88"/>
      <c r="B26" s="95">
        <v>1</v>
      </c>
      <c r="C26" s="198">
        <f t="shared" si="3"/>
        <v>3000</v>
      </c>
      <c r="D26" s="198">
        <f t="shared" si="0"/>
        <v>36000</v>
      </c>
      <c r="E26" s="198">
        <f t="shared" si="1"/>
        <v>12168</v>
      </c>
      <c r="F26" s="197">
        <f t="shared" si="2"/>
        <v>48168</v>
      </c>
      <c r="G26" s="1390"/>
      <c r="H26" s="1390"/>
      <c r="I26" s="1390"/>
      <c r="J26" s="1390"/>
    </row>
    <row r="27" spans="1:10" s="49" customFormat="1" ht="11.25" x14ac:dyDescent="0.2">
      <c r="A27" s="88"/>
      <c r="B27" s="95">
        <v>1</v>
      </c>
      <c r="C27" s="198">
        <f t="shared" si="3"/>
        <v>3000</v>
      </c>
      <c r="D27" s="198">
        <f t="shared" si="0"/>
        <v>36000</v>
      </c>
      <c r="E27" s="198">
        <f t="shared" si="1"/>
        <v>12168</v>
      </c>
      <c r="F27" s="197">
        <f t="shared" si="2"/>
        <v>48168</v>
      </c>
      <c r="G27" s="1390"/>
      <c r="H27" s="1390"/>
      <c r="I27" s="1390"/>
      <c r="J27" s="1390"/>
    </row>
    <row r="28" spans="1:10" s="49" customFormat="1" ht="11.25" x14ac:dyDescent="0.2">
      <c r="A28" s="88"/>
      <c r="B28" s="95">
        <v>1</v>
      </c>
      <c r="C28" s="198">
        <f t="shared" si="3"/>
        <v>3000</v>
      </c>
      <c r="D28" s="198">
        <f t="shared" si="0"/>
        <v>36000</v>
      </c>
      <c r="E28" s="198">
        <f t="shared" si="1"/>
        <v>12168</v>
      </c>
      <c r="F28" s="197">
        <f t="shared" si="2"/>
        <v>48168</v>
      </c>
      <c r="G28" s="1390"/>
      <c r="H28" s="1390"/>
      <c r="I28" s="1390"/>
      <c r="J28" s="1390"/>
    </row>
    <row r="29" spans="1:10" s="1399" customFormat="1" ht="11.25" x14ac:dyDescent="0.2">
      <c r="A29" s="1391"/>
      <c r="B29" s="1396">
        <v>1</v>
      </c>
      <c r="C29" s="198">
        <f t="shared" si="3"/>
        <v>3000</v>
      </c>
      <c r="D29" s="198">
        <f t="shared" si="0"/>
        <v>36000</v>
      </c>
      <c r="E29" s="198">
        <f t="shared" si="1"/>
        <v>12168</v>
      </c>
      <c r="F29" s="197">
        <f t="shared" si="2"/>
        <v>48168</v>
      </c>
      <c r="G29" s="1390"/>
      <c r="H29" s="1390"/>
      <c r="I29" s="1390"/>
      <c r="J29" s="1390"/>
    </row>
    <row r="30" spans="1:10" s="49" customFormat="1" ht="11.25" x14ac:dyDescent="0.2">
      <c r="A30" s="88"/>
      <c r="B30" s="95">
        <v>2</v>
      </c>
      <c r="C30" s="198">
        <f t="shared" si="3"/>
        <v>6000</v>
      </c>
      <c r="D30" s="198">
        <f t="shared" si="0"/>
        <v>72000</v>
      </c>
      <c r="E30" s="198">
        <f t="shared" si="1"/>
        <v>24336</v>
      </c>
      <c r="F30" s="197">
        <f t="shared" si="2"/>
        <v>96336</v>
      </c>
      <c r="G30" s="1390"/>
      <c r="H30" s="1390"/>
      <c r="I30" s="1390"/>
      <c r="J30" s="1390"/>
    </row>
    <row r="31" spans="1:10" s="49" customFormat="1" ht="11.25" x14ac:dyDescent="0.2">
      <c r="A31" s="88"/>
      <c r="B31" s="96">
        <v>1</v>
      </c>
      <c r="C31" s="198">
        <f t="shared" si="3"/>
        <v>3000</v>
      </c>
      <c r="D31" s="198">
        <f t="shared" si="0"/>
        <v>36000</v>
      </c>
      <c r="E31" s="198">
        <f t="shared" si="1"/>
        <v>12168</v>
      </c>
      <c r="F31" s="197">
        <f t="shared" si="2"/>
        <v>48168</v>
      </c>
      <c r="G31" s="1390"/>
      <c r="H31" s="1390"/>
      <c r="I31" s="1390"/>
      <c r="J31" s="1390"/>
    </row>
    <row r="32" spans="1:10" s="1399" customFormat="1" ht="11.25" x14ac:dyDescent="0.2">
      <c r="A32" s="1391"/>
      <c r="B32" s="1397">
        <v>1</v>
      </c>
      <c r="C32" s="198">
        <f t="shared" si="3"/>
        <v>3000</v>
      </c>
      <c r="D32" s="198">
        <f t="shared" si="0"/>
        <v>36000</v>
      </c>
      <c r="E32" s="198">
        <f t="shared" si="1"/>
        <v>12168</v>
      </c>
      <c r="F32" s="197">
        <f t="shared" si="2"/>
        <v>48168</v>
      </c>
      <c r="G32" s="1390"/>
      <c r="H32" s="1390"/>
      <c r="I32" s="1390"/>
      <c r="J32" s="1390"/>
    </row>
    <row r="33" spans="1:10" s="49" customFormat="1" ht="11.25" x14ac:dyDescent="0.2">
      <c r="A33" s="88"/>
      <c r="B33" s="96">
        <v>1</v>
      </c>
      <c r="C33" s="198">
        <f t="shared" si="3"/>
        <v>3000</v>
      </c>
      <c r="D33" s="198">
        <f t="shared" si="0"/>
        <v>36000</v>
      </c>
      <c r="E33" s="198">
        <f t="shared" si="1"/>
        <v>12168</v>
      </c>
      <c r="F33" s="197">
        <f t="shared" si="2"/>
        <v>48168</v>
      </c>
      <c r="G33" s="1390"/>
      <c r="H33" s="1390"/>
      <c r="I33" s="1390"/>
      <c r="J33" s="1390"/>
    </row>
    <row r="34" spans="1:10" s="49" customFormat="1" ht="11.25" x14ac:dyDescent="0.2">
      <c r="A34" s="88"/>
      <c r="B34" s="96">
        <v>2</v>
      </c>
      <c r="C34" s="198">
        <f t="shared" si="3"/>
        <v>6000</v>
      </c>
      <c r="D34" s="198">
        <f t="shared" si="0"/>
        <v>72000</v>
      </c>
      <c r="E34" s="198">
        <f t="shared" si="1"/>
        <v>24336</v>
      </c>
      <c r="F34" s="197">
        <f t="shared" si="2"/>
        <v>96336</v>
      </c>
      <c r="G34" s="1390"/>
      <c r="H34" s="1390"/>
      <c r="I34" s="1390"/>
      <c r="J34" s="1390"/>
    </row>
    <row r="35" spans="1:10" s="49" customFormat="1" ht="11.25" x14ac:dyDescent="0.2">
      <c r="A35" s="88"/>
      <c r="B35" s="96">
        <v>2</v>
      </c>
      <c r="C35" s="198">
        <f t="shared" si="3"/>
        <v>6000</v>
      </c>
      <c r="D35" s="198">
        <f t="shared" si="0"/>
        <v>72000</v>
      </c>
      <c r="E35" s="198">
        <f t="shared" si="1"/>
        <v>24336</v>
      </c>
      <c r="F35" s="197">
        <f t="shared" si="2"/>
        <v>96336</v>
      </c>
      <c r="G35" s="1390"/>
      <c r="H35" s="1390"/>
      <c r="I35" s="1390"/>
      <c r="J35" s="1390"/>
    </row>
    <row r="36" spans="1:10" s="982" customFormat="1" ht="11.25" x14ac:dyDescent="0.2">
      <c r="A36" s="88"/>
      <c r="B36" s="96">
        <v>0</v>
      </c>
      <c r="C36" s="198">
        <v>1000</v>
      </c>
      <c r="D36" s="198">
        <f t="shared" si="0"/>
        <v>12000</v>
      </c>
      <c r="E36" s="198">
        <f t="shared" si="1"/>
        <v>4056.0000000000005</v>
      </c>
      <c r="F36" s="197">
        <f t="shared" si="2"/>
        <v>16056</v>
      </c>
      <c r="G36" s="1390"/>
      <c r="H36" s="1390"/>
      <c r="I36" s="1390"/>
      <c r="J36" s="1390"/>
    </row>
    <row r="37" spans="1:10" s="49" customFormat="1" ht="11.25" x14ac:dyDescent="0.2">
      <c r="A37" s="88"/>
      <c r="B37" s="96">
        <v>1</v>
      </c>
      <c r="C37" s="198">
        <f t="shared" si="3"/>
        <v>3000</v>
      </c>
      <c r="D37" s="198">
        <f t="shared" si="0"/>
        <v>36000</v>
      </c>
      <c r="E37" s="198">
        <f t="shared" si="1"/>
        <v>12168</v>
      </c>
      <c r="F37" s="197">
        <f t="shared" si="2"/>
        <v>48168</v>
      </c>
      <c r="G37" s="1390"/>
      <c r="H37" s="1390"/>
      <c r="I37" s="1390"/>
      <c r="J37" s="1390"/>
    </row>
    <row r="38" spans="1:10" s="49" customFormat="1" ht="11.25" x14ac:dyDescent="0.2">
      <c r="A38" s="88"/>
      <c r="B38" s="96">
        <v>0</v>
      </c>
      <c r="C38" s="198">
        <v>1000</v>
      </c>
      <c r="D38" s="198">
        <f t="shared" si="0"/>
        <v>12000</v>
      </c>
      <c r="E38" s="198">
        <f t="shared" si="1"/>
        <v>4056.0000000000005</v>
      </c>
      <c r="F38" s="197">
        <f t="shared" si="2"/>
        <v>16056</v>
      </c>
      <c r="G38" s="1390"/>
      <c r="H38" s="1390"/>
      <c r="I38" s="1390"/>
      <c r="J38" s="1390"/>
    </row>
    <row r="39" spans="1:10" s="49" customFormat="1" ht="11.25" x14ac:dyDescent="0.2">
      <c r="A39" s="88"/>
      <c r="B39" s="96">
        <v>2</v>
      </c>
      <c r="C39" s="198">
        <f t="shared" si="3"/>
        <v>6000</v>
      </c>
      <c r="D39" s="198">
        <f t="shared" si="0"/>
        <v>72000</v>
      </c>
      <c r="E39" s="198">
        <f t="shared" si="1"/>
        <v>24336</v>
      </c>
      <c r="F39" s="197">
        <f t="shared" si="2"/>
        <v>96336</v>
      </c>
      <c r="G39" s="1390"/>
      <c r="H39" s="1390"/>
      <c r="I39" s="1390"/>
      <c r="J39" s="1390"/>
    </row>
    <row r="40" spans="1:10" s="49" customFormat="1" ht="11.25" x14ac:dyDescent="0.2">
      <c r="A40" s="88"/>
      <c r="B40" s="96">
        <v>1</v>
      </c>
      <c r="C40" s="198">
        <f t="shared" si="3"/>
        <v>3000</v>
      </c>
      <c r="D40" s="198">
        <f t="shared" si="0"/>
        <v>36000</v>
      </c>
      <c r="E40" s="198">
        <f t="shared" si="1"/>
        <v>12168</v>
      </c>
      <c r="F40" s="197">
        <f t="shared" si="2"/>
        <v>48168</v>
      </c>
      <c r="G40" s="1390"/>
      <c r="H40" s="1390"/>
      <c r="I40" s="1390"/>
      <c r="J40" s="1390"/>
    </row>
    <row r="41" spans="1:10" s="49" customFormat="1" ht="11.25" x14ac:dyDescent="0.2">
      <c r="A41" s="88"/>
      <c r="B41" s="96">
        <v>1</v>
      </c>
      <c r="C41" s="198">
        <f t="shared" si="3"/>
        <v>3000</v>
      </c>
      <c r="D41" s="198">
        <f t="shared" si="0"/>
        <v>36000</v>
      </c>
      <c r="E41" s="198">
        <f t="shared" si="1"/>
        <v>12168</v>
      </c>
      <c r="F41" s="197">
        <f t="shared" si="2"/>
        <v>48168</v>
      </c>
      <c r="G41" s="1390"/>
      <c r="H41" s="1390"/>
      <c r="I41" s="1390"/>
      <c r="J41" s="1390"/>
    </row>
    <row r="42" spans="1:10" s="49" customFormat="1" ht="11.25" x14ac:dyDescent="0.2">
      <c r="A42" s="88"/>
      <c r="B42" s="96">
        <v>1</v>
      </c>
      <c r="C42" s="198">
        <f t="shared" si="3"/>
        <v>3000</v>
      </c>
      <c r="D42" s="198">
        <f t="shared" si="0"/>
        <v>36000</v>
      </c>
      <c r="E42" s="198">
        <f t="shared" si="1"/>
        <v>12168</v>
      </c>
      <c r="F42" s="197">
        <f t="shared" si="2"/>
        <v>48168</v>
      </c>
      <c r="G42" s="1390"/>
      <c r="H42" s="1390"/>
      <c r="I42" s="1390"/>
      <c r="J42" s="1390"/>
    </row>
    <row r="43" spans="1:10" s="49" customFormat="1" ht="11.25" x14ac:dyDescent="0.2">
      <c r="A43" s="88"/>
      <c r="B43" s="96">
        <v>2</v>
      </c>
      <c r="C43" s="203">
        <f t="shared" si="3"/>
        <v>6000</v>
      </c>
      <c r="D43" s="203">
        <f t="shared" si="0"/>
        <v>72000</v>
      </c>
      <c r="E43" s="198">
        <f t="shared" si="1"/>
        <v>24336</v>
      </c>
      <c r="F43" s="204">
        <f t="shared" si="2"/>
        <v>96336</v>
      </c>
      <c r="G43" s="1390"/>
      <c r="H43" s="1390"/>
      <c r="I43" s="1390"/>
      <c r="J43" s="1390"/>
    </row>
    <row r="44" spans="1:10" s="49" customFormat="1" ht="11.25" x14ac:dyDescent="0.2">
      <c r="A44" s="98" t="s">
        <v>17</v>
      </c>
      <c r="B44" s="98" t="s">
        <v>121</v>
      </c>
      <c r="C44" s="197">
        <f>SUM(C7:C43)</f>
        <v>137000</v>
      </c>
      <c r="D44" s="197">
        <f>SUM(D7:D43)</f>
        <v>1644000</v>
      </c>
      <c r="E44" s="197">
        <f>SUM(E7:E43)</f>
        <v>555672</v>
      </c>
      <c r="F44" s="197">
        <f>SUM(F7:F43)</f>
        <v>2199672</v>
      </c>
      <c r="G44" s="1390"/>
      <c r="H44" s="1390"/>
      <c r="I44" s="1390"/>
      <c r="J44" s="1390"/>
    </row>
    <row r="45" spans="1:10" s="49" customFormat="1" ht="11.25" x14ac:dyDescent="0.2">
      <c r="G45" s="1390"/>
      <c r="H45" s="1390"/>
      <c r="I45" s="1390"/>
      <c r="J45" s="1390"/>
    </row>
    <row r="46" spans="1:10" s="49" customFormat="1" ht="11.25" x14ac:dyDescent="0.2">
      <c r="G46" s="1390"/>
      <c r="H46" s="1390"/>
      <c r="I46" s="1390"/>
      <c r="J46" s="1390"/>
    </row>
    <row r="47" spans="1:10" s="49" customFormat="1" ht="11.25" x14ac:dyDescent="0.2">
      <c r="G47" s="1390"/>
      <c r="H47" s="1390"/>
      <c r="I47" s="1390"/>
      <c r="J47" s="1390"/>
    </row>
    <row r="48" spans="1:10" s="49" customFormat="1" ht="11.25" x14ac:dyDescent="0.2">
      <c r="G48" s="1390"/>
      <c r="H48" s="1390"/>
      <c r="I48" s="1390"/>
      <c r="J48" s="1390"/>
    </row>
    <row r="49" spans="1:10" s="49" customFormat="1" ht="11.25" x14ac:dyDescent="0.2">
      <c r="A49" s="290"/>
      <c r="B49" s="291"/>
      <c r="G49" s="1390"/>
      <c r="H49" s="1390"/>
      <c r="I49" s="1390"/>
      <c r="J49" s="1390"/>
    </row>
    <row r="50" spans="1:10" s="49" customFormat="1" ht="11.25" x14ac:dyDescent="0.2">
      <c r="A50" s="290"/>
      <c r="B50" s="291"/>
      <c r="G50" s="1390"/>
      <c r="H50" s="1390"/>
      <c r="I50" s="1390"/>
      <c r="J50" s="1390"/>
    </row>
    <row r="51" spans="1:10" s="49" customFormat="1" ht="11.25" x14ac:dyDescent="0.2">
      <c r="A51" s="292"/>
      <c r="B51" s="293"/>
      <c r="G51" s="1390"/>
      <c r="H51" s="1390"/>
      <c r="I51" s="1390"/>
      <c r="J51" s="1390"/>
    </row>
    <row r="52" spans="1:10" s="49" customFormat="1" ht="11.25" x14ac:dyDescent="0.2">
      <c r="G52" s="1390"/>
      <c r="H52" s="1390"/>
      <c r="I52" s="1390"/>
      <c r="J52" s="1390"/>
    </row>
    <row r="53" spans="1:10" s="49" customFormat="1" ht="11.25" x14ac:dyDescent="0.2">
      <c r="G53" s="1390"/>
      <c r="H53" s="1390"/>
      <c r="I53" s="1390"/>
      <c r="J53" s="1390"/>
    </row>
    <row r="54" spans="1:10" s="49" customFormat="1" ht="11.25" x14ac:dyDescent="0.2">
      <c r="G54" s="1390"/>
      <c r="H54" s="1390"/>
      <c r="I54" s="1390"/>
      <c r="J54" s="1390"/>
    </row>
    <row r="55" spans="1:10" s="49" customFormat="1" ht="11.25" x14ac:dyDescent="0.2">
      <c r="G55" s="1390"/>
      <c r="H55" s="1390"/>
      <c r="I55" s="1390"/>
      <c r="J55" s="1390"/>
    </row>
    <row r="56" spans="1:10" s="49" customFormat="1" ht="11.25" x14ac:dyDescent="0.2">
      <c r="G56" s="1390"/>
      <c r="H56" s="1390"/>
      <c r="I56" s="1390"/>
      <c r="J56" s="1390"/>
    </row>
    <row r="57" spans="1:10" s="49" customFormat="1" ht="11.25" x14ac:dyDescent="0.2">
      <c r="G57" s="1390"/>
      <c r="H57" s="1390"/>
      <c r="I57" s="1390"/>
      <c r="J57" s="1390"/>
    </row>
    <row r="58" spans="1:10" s="49" customFormat="1" ht="11.25" x14ac:dyDescent="0.2">
      <c r="G58" s="1390"/>
      <c r="H58" s="1390"/>
      <c r="I58" s="1390"/>
      <c r="J58" s="1390"/>
    </row>
    <row r="59" spans="1:10" s="49" customFormat="1" ht="11.25" x14ac:dyDescent="0.2">
      <c r="G59" s="1390"/>
      <c r="H59" s="1390"/>
      <c r="I59" s="1390"/>
      <c r="J59" s="1390"/>
    </row>
    <row r="60" spans="1:10" s="49" customFormat="1" ht="11.25" x14ac:dyDescent="0.2">
      <c r="G60" s="1390"/>
      <c r="H60" s="1390"/>
      <c r="I60" s="1390"/>
      <c r="J60" s="1390"/>
    </row>
    <row r="61" spans="1:10" s="49" customFormat="1" ht="11.25" x14ac:dyDescent="0.2">
      <c r="G61" s="1390"/>
      <c r="H61" s="1390"/>
      <c r="I61" s="1390"/>
      <c r="J61" s="1390"/>
    </row>
    <row r="62" spans="1:10" s="49" customFormat="1" ht="11.25" x14ac:dyDescent="0.2">
      <c r="G62" s="1390"/>
      <c r="H62" s="1390"/>
      <c r="I62" s="1390"/>
      <c r="J62" s="1390"/>
    </row>
    <row r="63" spans="1:10" s="49" customFormat="1" ht="11.25" x14ac:dyDescent="0.2">
      <c r="G63" s="1390"/>
      <c r="H63" s="1390"/>
      <c r="I63" s="1390"/>
      <c r="J63" s="1390"/>
    </row>
    <row r="64" spans="1:10" s="49" customFormat="1" ht="11.25" x14ac:dyDescent="0.2">
      <c r="G64" s="1390"/>
      <c r="H64" s="1390"/>
      <c r="I64" s="1390"/>
      <c r="J64" s="1390"/>
    </row>
    <row r="65" spans="7:10" s="49" customFormat="1" ht="11.25" x14ac:dyDescent="0.2">
      <c r="G65" s="1390"/>
      <c r="H65" s="1390"/>
      <c r="I65" s="1390"/>
      <c r="J65" s="1390"/>
    </row>
    <row r="66" spans="7:10" s="49" customFormat="1" ht="11.25" x14ac:dyDescent="0.2">
      <c r="G66" s="1390"/>
      <c r="H66" s="1390"/>
      <c r="I66" s="1390"/>
      <c r="J66" s="1390"/>
    </row>
    <row r="67" spans="7:10" s="49" customFormat="1" ht="11.25" x14ac:dyDescent="0.2">
      <c r="G67" s="1390"/>
      <c r="H67" s="1390"/>
      <c r="I67" s="1390"/>
      <c r="J67" s="1390"/>
    </row>
    <row r="68" spans="7:10" s="49" customFormat="1" ht="11.25" x14ac:dyDescent="0.2">
      <c r="G68" s="1390"/>
      <c r="H68" s="1390"/>
      <c r="I68" s="1390"/>
      <c r="J68" s="1390"/>
    </row>
    <row r="69" spans="7:10" s="49" customFormat="1" ht="11.25" x14ac:dyDescent="0.2">
      <c r="G69" s="1390"/>
      <c r="H69" s="1390"/>
      <c r="I69" s="1390"/>
      <c r="J69" s="1390"/>
    </row>
    <row r="70" spans="7:10" s="49" customFormat="1" ht="11.25" x14ac:dyDescent="0.2">
      <c r="G70" s="1390"/>
      <c r="H70" s="1390"/>
      <c r="I70" s="1390"/>
      <c r="J70" s="1390"/>
    </row>
    <row r="71" spans="7:10" s="49" customFormat="1" ht="11.25" x14ac:dyDescent="0.2">
      <c r="G71" s="1390"/>
      <c r="H71" s="1390"/>
      <c r="I71" s="1390"/>
      <c r="J71" s="1390"/>
    </row>
    <row r="72" spans="7:10" s="49" customFormat="1" ht="11.25" x14ac:dyDescent="0.2">
      <c r="G72" s="1390"/>
      <c r="H72" s="1390"/>
      <c r="I72" s="1390"/>
      <c r="J72" s="1390"/>
    </row>
    <row r="73" spans="7:10" s="49" customFormat="1" ht="11.25" x14ac:dyDescent="0.2">
      <c r="G73" s="1390"/>
      <c r="H73" s="1390"/>
      <c r="I73" s="1390"/>
      <c r="J73" s="1390"/>
    </row>
    <row r="74" spans="7:10" s="49" customFormat="1" ht="11.25" x14ac:dyDescent="0.2">
      <c r="G74" s="1390"/>
      <c r="H74" s="1390"/>
      <c r="I74" s="1390"/>
      <c r="J74" s="1390"/>
    </row>
    <row r="75" spans="7:10" s="49" customFormat="1" ht="11.25" x14ac:dyDescent="0.2">
      <c r="G75" s="1390"/>
      <c r="H75" s="1390"/>
      <c r="I75" s="1390"/>
      <c r="J75" s="1390"/>
    </row>
    <row r="76" spans="7:10" s="49" customFormat="1" ht="11.25" x14ac:dyDescent="0.2">
      <c r="G76" s="1390"/>
      <c r="H76" s="1390"/>
      <c r="I76" s="1390"/>
      <c r="J76" s="1390"/>
    </row>
    <row r="77" spans="7:10" s="49" customFormat="1" ht="11.25" x14ac:dyDescent="0.2">
      <c r="G77" s="1390"/>
      <c r="H77" s="1390"/>
      <c r="I77" s="1390"/>
      <c r="J77" s="1390"/>
    </row>
    <row r="78" spans="7:10" s="49" customFormat="1" ht="11.25" x14ac:dyDescent="0.2">
      <c r="G78" s="1390"/>
      <c r="H78" s="1390"/>
      <c r="I78" s="1390"/>
      <c r="J78" s="1390"/>
    </row>
    <row r="79" spans="7:10" s="49" customFormat="1" ht="11.25" x14ac:dyDescent="0.2">
      <c r="G79" s="1390"/>
      <c r="H79" s="1390"/>
      <c r="I79" s="1390"/>
      <c r="J79" s="1390"/>
    </row>
    <row r="80" spans="7:10" s="49" customFormat="1" ht="11.25" x14ac:dyDescent="0.2">
      <c r="G80" s="1390"/>
      <c r="H80" s="1390"/>
      <c r="I80" s="1390"/>
      <c r="J80" s="1390"/>
    </row>
    <row r="81" spans="7:10" s="49" customFormat="1" ht="11.25" x14ac:dyDescent="0.2">
      <c r="G81" s="1390"/>
      <c r="H81" s="1390"/>
      <c r="I81" s="1390"/>
      <c r="J81" s="1390"/>
    </row>
    <row r="82" spans="7:10" s="49" customFormat="1" ht="11.25" x14ac:dyDescent="0.2">
      <c r="G82" s="1390"/>
      <c r="H82" s="1390"/>
      <c r="I82" s="1390"/>
      <c r="J82" s="1390"/>
    </row>
    <row r="83" spans="7:10" s="49" customFormat="1" ht="11.25" x14ac:dyDescent="0.2">
      <c r="G83" s="1390"/>
      <c r="H83" s="1390"/>
      <c r="I83" s="1390"/>
      <c r="J83" s="1390"/>
    </row>
    <row r="84" spans="7:10" s="49" customFormat="1" ht="11.25" x14ac:dyDescent="0.2">
      <c r="G84" s="1390"/>
      <c r="H84" s="1390"/>
      <c r="I84" s="1390"/>
      <c r="J84" s="1390"/>
    </row>
    <row r="85" spans="7:10" s="49" customFormat="1" ht="11.25" x14ac:dyDescent="0.2">
      <c r="G85" s="1390"/>
      <c r="H85" s="1390"/>
      <c r="I85" s="1390"/>
      <c r="J85" s="1390"/>
    </row>
    <row r="86" spans="7:10" s="49" customFormat="1" ht="11.25" x14ac:dyDescent="0.2">
      <c r="G86" s="1390"/>
      <c r="H86" s="1390"/>
      <c r="I86" s="1390"/>
      <c r="J86" s="1390"/>
    </row>
    <row r="87" spans="7:10" s="49" customFormat="1" ht="11.25" x14ac:dyDescent="0.2">
      <c r="G87" s="1390"/>
      <c r="H87" s="1390"/>
      <c r="I87" s="1390"/>
      <c r="J87" s="1390"/>
    </row>
    <row r="88" spans="7:10" s="49" customFormat="1" ht="11.25" x14ac:dyDescent="0.2">
      <c r="G88" s="1390"/>
      <c r="H88" s="1390"/>
      <c r="I88" s="1390"/>
      <c r="J88" s="1390"/>
    </row>
    <row r="89" spans="7:10" s="49" customFormat="1" ht="11.25" x14ac:dyDescent="0.2">
      <c r="G89" s="1390"/>
      <c r="H89" s="1390"/>
      <c r="I89" s="1390"/>
      <c r="J89" s="1390"/>
    </row>
    <row r="90" spans="7:10" s="49" customFormat="1" ht="11.25" x14ac:dyDescent="0.2">
      <c r="G90" s="1390"/>
      <c r="H90" s="1390"/>
      <c r="I90" s="1390"/>
      <c r="J90" s="1390"/>
    </row>
    <row r="91" spans="7:10" s="49" customFormat="1" ht="11.25" x14ac:dyDescent="0.2">
      <c r="G91" s="1390"/>
      <c r="H91" s="1390"/>
      <c r="I91" s="1390"/>
      <c r="J91" s="1390"/>
    </row>
    <row r="92" spans="7:10" s="49" customFormat="1" ht="11.25" x14ac:dyDescent="0.2">
      <c r="G92" s="1390"/>
      <c r="H92" s="1390"/>
      <c r="I92" s="1390"/>
      <c r="J92" s="1390"/>
    </row>
    <row r="93" spans="7:10" s="49" customFormat="1" ht="11.25" x14ac:dyDescent="0.2">
      <c r="G93" s="1390"/>
      <c r="H93" s="1390"/>
      <c r="I93" s="1390"/>
      <c r="J93" s="1390"/>
    </row>
    <row r="94" spans="7:10" s="49" customFormat="1" ht="11.25" x14ac:dyDescent="0.2">
      <c r="G94" s="1390"/>
      <c r="H94" s="1390"/>
      <c r="I94" s="1390"/>
      <c r="J94" s="1390"/>
    </row>
    <row r="95" spans="7:10" s="49" customFormat="1" ht="11.25" x14ac:dyDescent="0.2">
      <c r="G95" s="1390"/>
      <c r="H95" s="1390"/>
      <c r="I95" s="1390"/>
      <c r="J95" s="1390"/>
    </row>
    <row r="96" spans="7:10" s="49" customFormat="1" ht="11.25" x14ac:dyDescent="0.2">
      <c r="G96" s="1390"/>
      <c r="H96" s="1390"/>
      <c r="I96" s="1390"/>
      <c r="J96" s="1390"/>
    </row>
    <row r="97" spans="7:10" s="49" customFormat="1" ht="11.25" x14ac:dyDescent="0.2">
      <c r="G97" s="1390"/>
      <c r="H97" s="1390"/>
      <c r="I97" s="1390"/>
      <c r="J97" s="1390"/>
    </row>
    <row r="98" spans="7:10" s="49" customFormat="1" ht="11.25" x14ac:dyDescent="0.2">
      <c r="G98" s="1390"/>
      <c r="H98" s="1390"/>
      <c r="I98" s="1390"/>
      <c r="J98" s="1390"/>
    </row>
    <row r="99" spans="7:10" s="49" customFormat="1" ht="11.25" x14ac:dyDescent="0.2">
      <c r="G99" s="1390"/>
      <c r="H99" s="1390"/>
      <c r="I99" s="1390"/>
      <c r="J99" s="1390"/>
    </row>
    <row r="100" spans="7:10" s="49" customFormat="1" ht="11.25" x14ac:dyDescent="0.2">
      <c r="G100" s="1390"/>
      <c r="H100" s="1390"/>
      <c r="I100" s="1390"/>
      <c r="J100" s="1390"/>
    </row>
    <row r="101" spans="7:10" s="49" customFormat="1" ht="11.25" x14ac:dyDescent="0.2">
      <c r="G101" s="1390"/>
      <c r="H101" s="1390"/>
      <c r="I101" s="1390"/>
      <c r="J101" s="1390"/>
    </row>
    <row r="102" spans="7:10" s="49" customFormat="1" ht="11.25" x14ac:dyDescent="0.2">
      <c r="G102" s="1390"/>
      <c r="H102" s="1390"/>
      <c r="I102" s="1390"/>
      <c r="J102" s="1390"/>
    </row>
    <row r="103" spans="7:10" s="49" customFormat="1" ht="11.25" x14ac:dyDescent="0.2">
      <c r="G103" s="1390"/>
      <c r="H103" s="1390"/>
      <c r="I103" s="1390"/>
      <c r="J103" s="1390"/>
    </row>
    <row r="104" spans="7:10" s="49" customFormat="1" ht="11.25" x14ac:dyDescent="0.2">
      <c r="G104" s="1390"/>
      <c r="H104" s="1390"/>
      <c r="I104" s="1390"/>
      <c r="J104" s="1390"/>
    </row>
    <row r="105" spans="7:10" s="49" customFormat="1" ht="11.25" x14ac:dyDescent="0.2">
      <c r="G105" s="1390"/>
      <c r="H105" s="1390"/>
      <c r="I105" s="1390"/>
      <c r="J105" s="1390"/>
    </row>
    <row r="106" spans="7:10" s="49" customFormat="1" ht="11.25" x14ac:dyDescent="0.2">
      <c r="G106" s="1390"/>
      <c r="H106" s="1390"/>
      <c r="I106" s="1390"/>
      <c r="J106" s="1390"/>
    </row>
    <row r="107" spans="7:10" s="49" customFormat="1" ht="11.25" x14ac:dyDescent="0.2">
      <c r="G107" s="1390"/>
      <c r="H107" s="1390"/>
      <c r="I107" s="1390"/>
      <c r="J107" s="1390"/>
    </row>
    <row r="108" spans="7:10" s="49" customFormat="1" ht="11.25" x14ac:dyDescent="0.2">
      <c r="G108" s="1390"/>
      <c r="H108" s="1390"/>
      <c r="I108" s="1390"/>
      <c r="J108" s="1390"/>
    </row>
    <row r="109" spans="7:10" s="49" customFormat="1" ht="11.25" x14ac:dyDescent="0.2">
      <c r="G109" s="1390"/>
      <c r="H109" s="1390"/>
      <c r="I109" s="1390"/>
      <c r="J109" s="1390"/>
    </row>
    <row r="110" spans="7:10" s="49" customFormat="1" ht="11.25" x14ac:dyDescent="0.2">
      <c r="G110" s="1390"/>
      <c r="H110" s="1390"/>
      <c r="I110" s="1390"/>
      <c r="J110" s="1390"/>
    </row>
    <row r="111" spans="7:10" s="49" customFormat="1" ht="11.25" x14ac:dyDescent="0.2">
      <c r="G111" s="1390"/>
      <c r="H111" s="1390"/>
      <c r="I111" s="1390"/>
      <c r="J111" s="1390"/>
    </row>
    <row r="112" spans="7:10" s="49" customFormat="1" ht="11.25" x14ac:dyDescent="0.2">
      <c r="G112" s="1390"/>
      <c r="H112" s="1390"/>
      <c r="I112" s="1390"/>
      <c r="J112" s="1390"/>
    </row>
    <row r="113" spans="7:10" s="49" customFormat="1" ht="11.25" x14ac:dyDescent="0.2">
      <c r="G113" s="1390"/>
      <c r="H113" s="1390"/>
      <c r="I113" s="1390"/>
      <c r="J113" s="1390"/>
    </row>
    <row r="114" spans="7:10" s="49" customFormat="1" ht="11.25" x14ac:dyDescent="0.2">
      <c r="G114" s="1390"/>
      <c r="H114" s="1390"/>
      <c r="I114" s="1390"/>
      <c r="J114" s="1390"/>
    </row>
    <row r="115" spans="7:10" s="49" customFormat="1" ht="11.25" x14ac:dyDescent="0.2">
      <c r="G115" s="1390"/>
      <c r="H115" s="1390"/>
      <c r="I115" s="1390"/>
      <c r="J115" s="1390"/>
    </row>
    <row r="116" spans="7:10" s="49" customFormat="1" ht="11.25" x14ac:dyDescent="0.2">
      <c r="G116" s="1390"/>
      <c r="H116" s="1390"/>
      <c r="I116" s="1390"/>
      <c r="J116" s="1390"/>
    </row>
    <row r="117" spans="7:10" s="49" customFormat="1" ht="11.25" x14ac:dyDescent="0.2">
      <c r="G117" s="1390"/>
      <c r="H117" s="1390"/>
      <c r="I117" s="1390"/>
      <c r="J117" s="1390"/>
    </row>
    <row r="118" spans="7:10" s="49" customFormat="1" ht="11.25" x14ac:dyDescent="0.2">
      <c r="G118" s="1390"/>
      <c r="H118" s="1390"/>
      <c r="I118" s="1390"/>
      <c r="J118" s="1390"/>
    </row>
    <row r="119" spans="7:10" s="49" customFormat="1" ht="11.25" x14ac:dyDescent="0.2">
      <c r="G119" s="1390"/>
      <c r="H119" s="1390"/>
      <c r="I119" s="1390"/>
      <c r="J119" s="1390"/>
    </row>
    <row r="120" spans="7:10" s="49" customFormat="1" ht="11.25" x14ac:dyDescent="0.2">
      <c r="G120" s="1390"/>
      <c r="H120" s="1390"/>
      <c r="I120" s="1390"/>
      <c r="J120" s="1390"/>
    </row>
    <row r="121" spans="7:10" s="49" customFormat="1" ht="11.25" x14ac:dyDescent="0.2">
      <c r="G121" s="1390"/>
      <c r="H121" s="1390"/>
      <c r="I121" s="1390"/>
      <c r="J121" s="1390"/>
    </row>
    <row r="122" spans="7:10" s="49" customFormat="1" ht="11.25" x14ac:dyDescent="0.2">
      <c r="G122" s="1390"/>
      <c r="H122" s="1390"/>
      <c r="I122" s="1390"/>
      <c r="J122" s="1390"/>
    </row>
    <row r="123" spans="7:10" s="49" customFormat="1" ht="11.25" x14ac:dyDescent="0.2">
      <c r="G123" s="1390"/>
      <c r="H123" s="1390"/>
      <c r="I123" s="1390"/>
      <c r="J123" s="1390"/>
    </row>
    <row r="124" spans="7:10" s="49" customFormat="1" ht="11.25" x14ac:dyDescent="0.2">
      <c r="G124" s="1390"/>
      <c r="H124" s="1390"/>
      <c r="I124" s="1390"/>
      <c r="J124" s="1390"/>
    </row>
    <row r="125" spans="7:10" s="49" customFormat="1" ht="11.25" x14ac:dyDescent="0.2">
      <c r="G125" s="1390"/>
      <c r="H125" s="1390"/>
      <c r="I125" s="1390"/>
      <c r="J125" s="1390"/>
    </row>
    <row r="126" spans="7:10" s="49" customFormat="1" ht="11.25" x14ac:dyDescent="0.2">
      <c r="G126" s="1390"/>
      <c r="H126" s="1390"/>
      <c r="I126" s="1390"/>
      <c r="J126" s="1390"/>
    </row>
    <row r="127" spans="7:10" s="49" customFormat="1" ht="11.25" x14ac:dyDescent="0.2">
      <c r="G127" s="1390"/>
      <c r="H127" s="1390"/>
      <c r="I127" s="1390"/>
      <c r="J127" s="1390"/>
    </row>
    <row r="128" spans="7:10" s="49" customFormat="1" ht="11.25" x14ac:dyDescent="0.2">
      <c r="G128" s="1390"/>
      <c r="H128" s="1390"/>
      <c r="I128" s="1390"/>
      <c r="J128" s="1390"/>
    </row>
    <row r="129" spans="7:10" s="49" customFormat="1" ht="11.25" x14ac:dyDescent="0.2">
      <c r="G129" s="1390"/>
      <c r="H129" s="1390"/>
      <c r="I129" s="1390"/>
      <c r="J129" s="1390"/>
    </row>
    <row r="130" spans="7:10" s="49" customFormat="1" ht="11.25" x14ac:dyDescent="0.2">
      <c r="G130" s="1390"/>
      <c r="H130" s="1390"/>
      <c r="I130" s="1390"/>
      <c r="J130" s="1390"/>
    </row>
    <row r="131" spans="7:10" s="49" customFormat="1" ht="11.25" x14ac:dyDescent="0.2">
      <c r="G131" s="1390"/>
      <c r="H131" s="1390"/>
      <c r="I131" s="1390"/>
      <c r="J131" s="1390"/>
    </row>
    <row r="132" spans="7:10" s="49" customFormat="1" ht="11.25" x14ac:dyDescent="0.2">
      <c r="G132" s="1390"/>
      <c r="H132" s="1390"/>
      <c r="I132" s="1390"/>
      <c r="J132" s="1390"/>
    </row>
    <row r="133" spans="7:10" s="49" customFormat="1" ht="11.25" x14ac:dyDescent="0.2">
      <c r="G133" s="1390"/>
      <c r="H133" s="1390"/>
      <c r="I133" s="1390"/>
      <c r="J133" s="1390"/>
    </row>
    <row r="134" spans="7:10" s="49" customFormat="1" ht="11.25" x14ac:dyDescent="0.2">
      <c r="G134" s="1390"/>
      <c r="H134" s="1390"/>
      <c r="I134" s="1390"/>
      <c r="J134" s="1390"/>
    </row>
    <row r="135" spans="7:10" s="49" customFormat="1" ht="11.25" x14ac:dyDescent="0.2">
      <c r="G135" s="1390"/>
      <c r="H135" s="1390"/>
      <c r="I135" s="1390"/>
      <c r="J135" s="1390"/>
    </row>
    <row r="136" spans="7:10" s="49" customFormat="1" ht="11.25" x14ac:dyDescent="0.2">
      <c r="G136" s="1390"/>
      <c r="H136" s="1390"/>
      <c r="I136" s="1390"/>
      <c r="J136" s="1390"/>
    </row>
    <row r="137" spans="7:10" s="49" customFormat="1" ht="11.25" x14ac:dyDescent="0.2">
      <c r="G137" s="1390"/>
      <c r="H137" s="1390"/>
      <c r="I137" s="1390"/>
      <c r="J137" s="1390"/>
    </row>
    <row r="138" spans="7:10" s="49" customFormat="1" ht="11.25" x14ac:dyDescent="0.2">
      <c r="G138" s="1390"/>
      <c r="H138" s="1390"/>
      <c r="I138" s="1390"/>
      <c r="J138" s="1390"/>
    </row>
    <row r="139" spans="7:10" s="49" customFormat="1" ht="11.25" x14ac:dyDescent="0.2">
      <c r="G139" s="1390"/>
      <c r="H139" s="1390"/>
      <c r="I139" s="1390"/>
      <c r="J139" s="1390"/>
    </row>
    <row r="140" spans="7:10" s="49" customFormat="1" ht="11.25" x14ac:dyDescent="0.2">
      <c r="G140" s="1390"/>
      <c r="H140" s="1390"/>
      <c r="I140" s="1390"/>
      <c r="J140" s="1390"/>
    </row>
    <row r="141" spans="7:10" s="49" customFormat="1" ht="11.25" x14ac:dyDescent="0.2">
      <c r="G141" s="1390"/>
      <c r="H141" s="1390"/>
      <c r="I141" s="1390"/>
      <c r="J141" s="1390"/>
    </row>
  </sheetData>
  <sortState ref="A5:A55">
    <sortCondition ref="A5"/>
  </sortState>
  <pageMargins left="0.7" right="0.7" top="0.75" bottom="0.75" header="0.3" footer="0.3"/>
  <pageSetup paperSize="9" orientation="landscape" r:id="rId1"/>
  <headerFooter>
    <oddFooter>&amp;C&amp;8&amp;A&amp;R&amp;8&amp;F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K24"/>
  <sheetViews>
    <sheetView workbookViewId="0"/>
  </sheetViews>
  <sheetFormatPr defaultColWidth="9.140625" defaultRowHeight="12.75" x14ac:dyDescent="0.2"/>
  <cols>
    <col min="1" max="1" width="17.7109375" style="5" customWidth="1"/>
    <col min="2" max="2" width="57.5703125" style="5" customWidth="1"/>
    <col min="3" max="6" width="9.5703125" style="5" customWidth="1"/>
    <col min="7" max="10" width="8.85546875" style="5" bestFit="1" customWidth="1"/>
    <col min="11" max="16384" width="9.140625" style="5"/>
  </cols>
  <sheetData>
    <row r="1" spans="1:11" ht="15" customHeight="1" x14ac:dyDescent="0.25">
      <c r="A1" s="102" t="s">
        <v>373</v>
      </c>
      <c r="J1" s="6"/>
    </row>
    <row r="2" spans="1:11" s="120" customFormat="1" ht="15" customHeight="1" x14ac:dyDescent="0.2">
      <c r="A2" s="117"/>
      <c r="B2" s="118"/>
      <c r="C2" s="118"/>
      <c r="D2" s="118"/>
      <c r="E2" s="118"/>
      <c r="F2" s="118"/>
      <c r="G2" s="118"/>
      <c r="H2" s="118"/>
      <c r="I2" s="118"/>
      <c r="J2" s="118"/>
      <c r="K2" s="119"/>
    </row>
    <row r="3" spans="1:11" s="120" customFormat="1" ht="14.1" customHeight="1" thickBot="1" x14ac:dyDescent="0.25">
      <c r="A3" s="1459" t="s">
        <v>76</v>
      </c>
      <c r="B3" s="258" t="s">
        <v>34</v>
      </c>
      <c r="C3" s="161">
        <v>2023</v>
      </c>
      <c r="D3" s="303">
        <v>2022</v>
      </c>
      <c r="E3" s="303">
        <v>2021</v>
      </c>
      <c r="F3" s="303">
        <v>2020</v>
      </c>
      <c r="G3" s="303">
        <v>2019</v>
      </c>
      <c r="H3" s="302">
        <v>2018</v>
      </c>
      <c r="I3" s="303">
        <v>2017</v>
      </c>
      <c r="J3" s="302">
        <v>2016</v>
      </c>
      <c r="K3" s="119"/>
    </row>
    <row r="4" spans="1:11" s="120" customFormat="1" ht="14.1" customHeight="1" thickTop="1" x14ac:dyDescent="0.2">
      <c r="A4" s="1460"/>
      <c r="B4" s="259" t="s">
        <v>37</v>
      </c>
      <c r="C4" s="175">
        <v>50000</v>
      </c>
      <c r="D4" s="305">
        <v>50000</v>
      </c>
      <c r="E4" s="305">
        <v>50000</v>
      </c>
      <c r="F4" s="305">
        <v>50000</v>
      </c>
      <c r="G4" s="305">
        <v>50000</v>
      </c>
      <c r="H4" s="304">
        <v>50000</v>
      </c>
      <c r="I4" s="305">
        <v>50000</v>
      </c>
      <c r="J4" s="304">
        <v>50000</v>
      </c>
      <c r="K4" s="119"/>
    </row>
    <row r="5" spans="1:11" s="120" customFormat="1" ht="14.1" customHeight="1" x14ac:dyDescent="0.2">
      <c r="A5" s="1460"/>
      <c r="B5" s="259" t="s">
        <v>58</v>
      </c>
      <c r="C5" s="175">
        <v>0</v>
      </c>
      <c r="D5" s="305">
        <v>0</v>
      </c>
      <c r="E5" s="305">
        <v>0</v>
      </c>
      <c r="F5" s="305">
        <v>0</v>
      </c>
      <c r="G5" s="305">
        <v>0</v>
      </c>
      <c r="H5" s="304">
        <v>0</v>
      </c>
      <c r="I5" s="305">
        <v>0</v>
      </c>
      <c r="J5" s="304">
        <v>60000</v>
      </c>
      <c r="K5" s="119"/>
    </row>
    <row r="6" spans="1:11" s="122" customFormat="1" ht="24" customHeight="1" x14ac:dyDescent="0.2">
      <c r="A6" s="295" t="s">
        <v>77</v>
      </c>
      <c r="B6" s="259" t="s">
        <v>71</v>
      </c>
      <c r="C6" s="175">
        <v>20000</v>
      </c>
      <c r="D6" s="305">
        <v>20000</v>
      </c>
      <c r="E6" s="305">
        <v>20000</v>
      </c>
      <c r="F6" s="305">
        <v>20000</v>
      </c>
      <c r="G6" s="305">
        <v>20000</v>
      </c>
      <c r="H6" s="304">
        <v>20000</v>
      </c>
      <c r="I6" s="305">
        <v>20000</v>
      </c>
      <c r="J6" s="304">
        <v>100000</v>
      </c>
      <c r="K6" s="121"/>
    </row>
    <row r="7" spans="1:11" s="120" customFormat="1" ht="14.1" customHeight="1" x14ac:dyDescent="0.2">
      <c r="A7" s="123"/>
      <c r="B7" s="260" t="s">
        <v>59</v>
      </c>
      <c r="C7" s="176">
        <v>0</v>
      </c>
      <c r="D7" s="307">
        <v>0</v>
      </c>
      <c r="E7" s="307">
        <v>0</v>
      </c>
      <c r="F7" s="307">
        <v>0</v>
      </c>
      <c r="G7" s="307">
        <v>0</v>
      </c>
      <c r="H7" s="306">
        <v>0</v>
      </c>
      <c r="I7" s="307">
        <v>0</v>
      </c>
      <c r="J7" s="306">
        <v>100000</v>
      </c>
      <c r="K7" s="119"/>
    </row>
    <row r="8" spans="1:11" s="120" customFormat="1" ht="14.1" customHeight="1" x14ac:dyDescent="0.2">
      <c r="A8" s="123"/>
      <c r="B8" s="260" t="s">
        <v>125</v>
      </c>
      <c r="C8" s="176">
        <v>0</v>
      </c>
      <c r="D8" s="307">
        <v>0</v>
      </c>
      <c r="E8" s="307">
        <v>0</v>
      </c>
      <c r="F8" s="307">
        <v>0</v>
      </c>
      <c r="G8" s="307">
        <v>0</v>
      </c>
      <c r="H8" s="306">
        <v>150000</v>
      </c>
      <c r="I8" s="307">
        <v>0</v>
      </c>
      <c r="J8" s="306">
        <v>0</v>
      </c>
      <c r="K8" s="119"/>
    </row>
    <row r="9" spans="1:11" s="120" customFormat="1" ht="14.1" customHeight="1" thickBot="1" x14ac:dyDescent="0.25">
      <c r="A9" s="123"/>
      <c r="B9" s="261" t="s">
        <v>152</v>
      </c>
      <c r="C9" s="177">
        <v>100000</v>
      </c>
      <c r="D9" s="309">
        <v>100000</v>
      </c>
      <c r="E9" s="309">
        <v>100000</v>
      </c>
      <c r="F9" s="309">
        <v>100000</v>
      </c>
      <c r="G9" s="309">
        <v>100000</v>
      </c>
      <c r="H9" s="308">
        <v>100000</v>
      </c>
      <c r="I9" s="309">
        <v>100000</v>
      </c>
      <c r="J9" s="308">
        <v>100000</v>
      </c>
      <c r="K9" s="119"/>
    </row>
    <row r="10" spans="1:11" s="120" customFormat="1" ht="14.1" customHeight="1" thickTop="1" x14ac:dyDescent="0.2">
      <c r="A10" s="328"/>
      <c r="B10" s="262" t="s">
        <v>38</v>
      </c>
      <c r="C10" s="483">
        <f t="shared" ref="C10:J10" si="0">SUM(C4:C9)</f>
        <v>170000</v>
      </c>
      <c r="D10" s="485">
        <f t="shared" ref="D10" si="1">SUM(D4:D9)</f>
        <v>170000</v>
      </c>
      <c r="E10" s="485">
        <f t="shared" ref="E10" si="2">SUM(E4:E9)</f>
        <v>170000</v>
      </c>
      <c r="F10" s="485">
        <f t="shared" si="0"/>
        <v>170000</v>
      </c>
      <c r="G10" s="485">
        <f t="shared" si="0"/>
        <v>170000</v>
      </c>
      <c r="H10" s="484">
        <f t="shared" si="0"/>
        <v>320000</v>
      </c>
      <c r="I10" s="485">
        <f t="shared" si="0"/>
        <v>170000</v>
      </c>
      <c r="J10" s="486">
        <f t="shared" si="0"/>
        <v>410000</v>
      </c>
    </row>
    <row r="11" spans="1:11" s="120" customFormat="1" ht="14.1" customHeight="1" x14ac:dyDescent="0.2">
      <c r="A11" s="118"/>
      <c r="C11" s="122"/>
      <c r="D11" s="121"/>
      <c r="E11" s="122"/>
      <c r="F11" s="122"/>
      <c r="G11" s="122"/>
      <c r="H11" s="122"/>
      <c r="I11" s="122"/>
      <c r="J11" s="122"/>
    </row>
    <row r="12" spans="1:11" s="120" customFormat="1" ht="14.1" customHeight="1" x14ac:dyDescent="0.2">
      <c r="A12" s="118"/>
      <c r="C12" s="122"/>
      <c r="D12" s="121"/>
      <c r="E12" s="122"/>
      <c r="F12" s="122"/>
      <c r="G12" s="122"/>
      <c r="H12" s="122"/>
      <c r="I12" s="122"/>
      <c r="J12" s="122"/>
    </row>
    <row r="13" spans="1:11" s="120" customFormat="1" ht="14.1" customHeight="1" thickBot="1" x14ac:dyDescent="0.25">
      <c r="A13" s="1459" t="s">
        <v>74</v>
      </c>
      <c r="B13" s="263" t="s">
        <v>34</v>
      </c>
      <c r="C13" s="161">
        <v>2023</v>
      </c>
      <c r="D13" s="303">
        <v>2022</v>
      </c>
      <c r="E13" s="303">
        <v>2021</v>
      </c>
      <c r="F13" s="303">
        <v>2020</v>
      </c>
      <c r="G13" s="303">
        <v>2019</v>
      </c>
      <c r="H13" s="302">
        <v>2018</v>
      </c>
      <c r="I13" s="303">
        <v>2017</v>
      </c>
      <c r="J13" s="302">
        <v>2016</v>
      </c>
    </row>
    <row r="14" spans="1:11" s="120" customFormat="1" ht="14.1" customHeight="1" thickTop="1" x14ac:dyDescent="0.2">
      <c r="A14" s="1460"/>
      <c r="B14" s="259" t="s">
        <v>37</v>
      </c>
      <c r="C14" s="1369">
        <v>0</v>
      </c>
      <c r="D14" s="684">
        <v>50000</v>
      </c>
      <c r="E14" s="684">
        <v>50000</v>
      </c>
      <c r="F14" s="684">
        <v>50000</v>
      </c>
      <c r="G14" s="307">
        <v>0</v>
      </c>
      <c r="H14" s="306">
        <v>0</v>
      </c>
      <c r="I14" s="307">
        <v>0</v>
      </c>
      <c r="J14" s="306">
        <v>0</v>
      </c>
    </row>
    <row r="15" spans="1:11" s="120" customFormat="1" ht="24" customHeight="1" x14ac:dyDescent="0.2">
      <c r="A15" s="1460"/>
      <c r="B15" s="259" t="s">
        <v>153</v>
      </c>
      <c r="C15" s="1369">
        <v>0</v>
      </c>
      <c r="D15" s="684">
        <v>30000</v>
      </c>
      <c r="E15" s="684">
        <v>30000</v>
      </c>
      <c r="F15" s="684">
        <v>30000</v>
      </c>
      <c r="G15" s="305">
        <v>15000</v>
      </c>
      <c r="H15" s="304">
        <v>35000</v>
      </c>
      <c r="I15" s="305">
        <v>50000</v>
      </c>
      <c r="J15" s="304">
        <v>100000</v>
      </c>
    </row>
    <row r="16" spans="1:11" s="120" customFormat="1" ht="14.1" customHeight="1" x14ac:dyDescent="0.2">
      <c r="A16" s="295" t="s">
        <v>75</v>
      </c>
      <c r="B16" s="259" t="s">
        <v>210</v>
      </c>
      <c r="C16" s="1369">
        <v>0</v>
      </c>
      <c r="D16" s="684">
        <v>25000</v>
      </c>
      <c r="E16" s="684">
        <v>25000</v>
      </c>
      <c r="F16" s="684">
        <v>25000</v>
      </c>
      <c r="G16" s="305">
        <v>25000</v>
      </c>
      <c r="H16" s="304">
        <v>25000</v>
      </c>
      <c r="I16" s="305">
        <v>35000</v>
      </c>
      <c r="J16" s="304">
        <v>35000</v>
      </c>
    </row>
    <row r="17" spans="1:10" s="120" customFormat="1" ht="14.1" customHeight="1" x14ac:dyDescent="0.2">
      <c r="A17" s="123"/>
      <c r="B17" s="260" t="s">
        <v>60</v>
      </c>
      <c r="C17" s="1369">
        <v>0</v>
      </c>
      <c r="D17" s="685">
        <v>0</v>
      </c>
      <c r="E17" s="685">
        <v>0</v>
      </c>
      <c r="F17" s="685">
        <v>0</v>
      </c>
      <c r="G17" s="307">
        <v>0</v>
      </c>
      <c r="H17" s="306">
        <v>0</v>
      </c>
      <c r="I17" s="307">
        <v>0</v>
      </c>
      <c r="J17" s="306">
        <v>50000</v>
      </c>
    </row>
    <row r="18" spans="1:10" s="120" customFormat="1" ht="14.1" customHeight="1" thickBot="1" x14ac:dyDescent="0.25">
      <c r="A18" s="123"/>
      <c r="B18" s="261" t="s">
        <v>152</v>
      </c>
      <c r="C18" s="1370">
        <v>0</v>
      </c>
      <c r="D18" s="686">
        <v>100000</v>
      </c>
      <c r="E18" s="686">
        <v>100000</v>
      </c>
      <c r="F18" s="686">
        <v>100000</v>
      </c>
      <c r="G18" s="309">
        <v>100000</v>
      </c>
      <c r="H18" s="308">
        <v>100000</v>
      </c>
      <c r="I18" s="309">
        <v>100000</v>
      </c>
      <c r="J18" s="308">
        <v>100000</v>
      </c>
    </row>
    <row r="19" spans="1:10" s="120" customFormat="1" ht="14.1" customHeight="1" thickTop="1" x14ac:dyDescent="0.2">
      <c r="A19" s="328"/>
      <c r="B19" s="262" t="s">
        <v>39</v>
      </c>
      <c r="C19" s="483">
        <f>SUM(C14:C18)</f>
        <v>0</v>
      </c>
      <c r="D19" s="687">
        <f>SUM(D14:D18)</f>
        <v>205000</v>
      </c>
      <c r="E19" s="687">
        <f>SUM(E14:E18)</f>
        <v>205000</v>
      </c>
      <c r="F19" s="687">
        <f>SUM(F14:F18)</f>
        <v>205000</v>
      </c>
      <c r="G19" s="485">
        <f>SUM(G15:G18)</f>
        <v>140000</v>
      </c>
      <c r="H19" s="484">
        <f>SUM(H15:H18)</f>
        <v>160000</v>
      </c>
      <c r="I19" s="485">
        <f>SUM(I15:I18)</f>
        <v>185000</v>
      </c>
      <c r="J19" s="486">
        <f>SUM(J15:J18)</f>
        <v>285000</v>
      </c>
    </row>
    <row r="20" spans="1:10" s="120" customFormat="1" ht="14.1" customHeight="1" x14ac:dyDescent="0.2">
      <c r="A20" s="125"/>
      <c r="B20" s="125"/>
      <c r="C20" s="487"/>
      <c r="D20" s="1371"/>
      <c r="E20" s="487"/>
      <c r="F20" s="487"/>
      <c r="G20" s="488"/>
      <c r="H20" s="488"/>
      <c r="I20" s="488"/>
      <c r="J20" s="489"/>
    </row>
    <row r="21" spans="1:10" s="120" customFormat="1" ht="14.1" customHeight="1" x14ac:dyDescent="0.2">
      <c r="A21" s="125"/>
      <c r="B21" s="124"/>
      <c r="C21" s="490"/>
      <c r="D21" s="1372"/>
      <c r="E21" s="490"/>
      <c r="F21" s="490"/>
      <c r="G21" s="491"/>
      <c r="H21" s="491"/>
      <c r="I21" s="491"/>
      <c r="J21" s="489"/>
    </row>
    <row r="22" spans="1:10" s="120" customFormat="1" ht="14.1" customHeight="1" x14ac:dyDescent="0.2">
      <c r="A22" s="1457" t="s">
        <v>33</v>
      </c>
      <c r="B22" s="1458"/>
      <c r="C22" s="329">
        <f t="shared" ref="C22:J22" si="3">C10+C19</f>
        <v>170000</v>
      </c>
      <c r="D22" s="688">
        <f t="shared" ref="D22" si="4">D10+D19</f>
        <v>375000</v>
      </c>
      <c r="E22" s="688">
        <f t="shared" si="3"/>
        <v>375000</v>
      </c>
      <c r="F22" s="688">
        <f t="shared" si="3"/>
        <v>375000</v>
      </c>
      <c r="G22" s="310">
        <f t="shared" si="3"/>
        <v>310000</v>
      </c>
      <c r="H22" s="310">
        <f t="shared" si="3"/>
        <v>480000</v>
      </c>
      <c r="I22" s="311">
        <f t="shared" si="3"/>
        <v>355000</v>
      </c>
      <c r="J22" s="311">
        <f t="shared" si="3"/>
        <v>695000</v>
      </c>
    </row>
    <row r="23" spans="1:10" ht="15" customHeight="1" x14ac:dyDescent="0.2">
      <c r="A23" s="6"/>
      <c r="B23" s="6"/>
      <c r="C23" s="6"/>
      <c r="D23" s="6"/>
      <c r="E23" s="6"/>
      <c r="F23" s="6"/>
      <c r="G23" s="6"/>
      <c r="H23" s="6"/>
      <c r="I23" s="6"/>
      <c r="J23" s="6"/>
    </row>
    <row r="24" spans="1:10" ht="15" customHeight="1" x14ac:dyDescent="0.2">
      <c r="A24" s="6"/>
      <c r="B24" s="6"/>
      <c r="C24" s="6"/>
      <c r="D24" s="6"/>
      <c r="E24" s="6"/>
      <c r="F24" s="6"/>
      <c r="G24" s="6"/>
      <c r="H24" s="6"/>
      <c r="I24" s="6"/>
      <c r="J24" s="6"/>
    </row>
  </sheetData>
  <mergeCells count="3">
    <mergeCell ref="A22:B22"/>
    <mergeCell ref="A13:A15"/>
    <mergeCell ref="A3:A5"/>
  </mergeCells>
  <pageMargins left="0.7" right="0.7" top="0.75" bottom="0.75" header="0.3" footer="0.3"/>
  <pageSetup paperSize="9" scale="90" orientation="landscape" r:id="rId1"/>
  <headerFooter alignWithMargins="0">
    <oddFooter>&amp;C&amp;8&amp;A&amp;R&amp;8&amp;F</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K25"/>
  <sheetViews>
    <sheetView workbookViewId="0"/>
  </sheetViews>
  <sheetFormatPr defaultRowHeight="12.75" customHeight="1" x14ac:dyDescent="0.2"/>
  <cols>
    <col min="1" max="1" width="59.42578125" customWidth="1"/>
    <col min="2" max="2" width="11.42578125" customWidth="1"/>
    <col min="3" max="3" width="11.42578125" style="979" customWidth="1"/>
    <col min="4" max="7" width="11.42578125" customWidth="1"/>
    <col min="8" max="8" width="10.140625" bestFit="1" customWidth="1"/>
    <col min="9" max="9" width="10.85546875" customWidth="1"/>
  </cols>
  <sheetData>
    <row r="1" spans="1:11" ht="12.75" customHeight="1" x14ac:dyDescent="0.25">
      <c r="A1" s="239" t="s">
        <v>372</v>
      </c>
      <c r="B1" s="101"/>
      <c r="C1" s="101"/>
      <c r="D1" s="101"/>
      <c r="E1" s="101"/>
      <c r="F1" s="101"/>
      <c r="G1" s="101"/>
    </row>
    <row r="2" spans="1:11" ht="12.75" customHeight="1" x14ac:dyDescent="0.2">
      <c r="A2" s="4"/>
      <c r="B2" s="4"/>
      <c r="C2" s="4"/>
      <c r="D2" s="4"/>
      <c r="E2" s="4"/>
      <c r="F2" s="4"/>
      <c r="G2" s="4"/>
    </row>
    <row r="3" spans="1:11" s="118" customFormat="1" ht="12.75" customHeight="1" thickBot="1" x14ac:dyDescent="0.25">
      <c r="A3" s="224" t="s">
        <v>25</v>
      </c>
      <c r="B3" s="225">
        <v>2023</v>
      </c>
      <c r="C3" s="223">
        <v>2022</v>
      </c>
      <c r="D3" s="223">
        <v>2021</v>
      </c>
      <c r="E3" s="223">
        <v>2020</v>
      </c>
      <c r="F3" s="223">
        <v>2019</v>
      </c>
      <c r="G3" s="223">
        <v>2018</v>
      </c>
      <c r="H3" s="223">
        <v>2017</v>
      </c>
      <c r="I3" s="223">
        <v>2016</v>
      </c>
    </row>
    <row r="4" spans="1:11" s="118" customFormat="1" ht="12.75" customHeight="1" thickTop="1" x14ac:dyDescent="0.2">
      <c r="A4" s="226" t="s">
        <v>123</v>
      </c>
      <c r="B4" s="227">
        <v>800000</v>
      </c>
      <c r="C4" s="278">
        <v>800000</v>
      </c>
      <c r="D4" s="278">
        <v>800000</v>
      </c>
      <c r="E4" s="278">
        <v>800000</v>
      </c>
      <c r="F4" s="278">
        <v>800000</v>
      </c>
      <c r="G4" s="278">
        <v>900000</v>
      </c>
      <c r="H4" s="278">
        <v>1100000</v>
      </c>
      <c r="I4" s="278">
        <v>1100000</v>
      </c>
      <c r="J4" s="229"/>
      <c r="K4" s="230"/>
    </row>
    <row r="5" spans="1:11" s="118" customFormat="1" ht="12.75" customHeight="1" x14ac:dyDescent="0.2">
      <c r="A5" s="231" t="s">
        <v>136</v>
      </c>
      <c r="B5" s="232">
        <v>210000</v>
      </c>
      <c r="C5" s="279">
        <v>210000</v>
      </c>
      <c r="D5" s="279">
        <v>210000</v>
      </c>
      <c r="E5" s="279">
        <v>210000</v>
      </c>
      <c r="F5" s="279">
        <v>210000</v>
      </c>
      <c r="G5" s="279">
        <v>210000</v>
      </c>
      <c r="H5" s="279">
        <v>210000</v>
      </c>
      <c r="I5" s="279">
        <v>210000</v>
      </c>
    </row>
    <row r="6" spans="1:11" s="118" customFormat="1" ht="12.75" customHeight="1" x14ac:dyDescent="0.2">
      <c r="A6" s="233" t="s">
        <v>26</v>
      </c>
      <c r="B6" s="234">
        <v>250000</v>
      </c>
      <c r="C6" s="280">
        <v>250000</v>
      </c>
      <c r="D6" s="280">
        <v>250000</v>
      </c>
      <c r="E6" s="280">
        <v>250000</v>
      </c>
      <c r="F6" s="280">
        <v>250000</v>
      </c>
      <c r="G6" s="280">
        <v>250000</v>
      </c>
      <c r="H6" s="280">
        <v>250000</v>
      </c>
      <c r="I6" s="279">
        <v>250000</v>
      </c>
    </row>
    <row r="7" spans="1:11" s="118" customFormat="1" ht="12.75" customHeight="1" x14ac:dyDescent="0.2">
      <c r="A7" s="231" t="s">
        <v>61</v>
      </c>
      <c r="B7" s="232">
        <v>80000</v>
      </c>
      <c r="C7" s="279">
        <v>80000</v>
      </c>
      <c r="D7" s="279">
        <v>80000</v>
      </c>
      <c r="E7" s="279">
        <v>80000</v>
      </c>
      <c r="F7" s="279">
        <v>80000</v>
      </c>
      <c r="G7" s="279">
        <v>80000</v>
      </c>
      <c r="H7" s="279">
        <v>80000</v>
      </c>
      <c r="I7" s="279">
        <v>80000</v>
      </c>
    </row>
    <row r="8" spans="1:11" s="118" customFormat="1" ht="12.75" customHeight="1" x14ac:dyDescent="0.2">
      <c r="A8" s="231" t="s">
        <v>328</v>
      </c>
      <c r="B8" s="232">
        <v>50000</v>
      </c>
      <c r="C8" s="279">
        <v>50000</v>
      </c>
      <c r="D8" s="279">
        <v>50000</v>
      </c>
      <c r="E8" s="279">
        <v>50000</v>
      </c>
      <c r="F8" s="279">
        <v>50000</v>
      </c>
      <c r="G8" s="279">
        <v>50000</v>
      </c>
      <c r="H8" s="279">
        <v>50000</v>
      </c>
      <c r="I8" s="279">
        <v>50000</v>
      </c>
    </row>
    <row r="9" spans="1:11" s="118" customFormat="1" ht="12.75" customHeight="1" x14ac:dyDescent="0.2">
      <c r="A9" s="231" t="s">
        <v>27</v>
      </c>
      <c r="B9" s="232">
        <v>450000</v>
      </c>
      <c r="C9" s="279">
        <v>450000</v>
      </c>
      <c r="D9" s="279">
        <v>450000</v>
      </c>
      <c r="E9" s="279">
        <v>450000</v>
      </c>
      <c r="F9" s="279">
        <v>450000</v>
      </c>
      <c r="G9" s="279">
        <v>450000</v>
      </c>
      <c r="H9" s="279">
        <v>450000</v>
      </c>
      <c r="I9" s="279">
        <v>450000</v>
      </c>
    </row>
    <row r="10" spans="1:11" s="118" customFormat="1" ht="12.75" customHeight="1" x14ac:dyDescent="0.2">
      <c r="A10" s="231" t="s">
        <v>331</v>
      </c>
      <c r="B10" s="232">
        <v>150000</v>
      </c>
      <c r="C10" s="279">
        <v>150000</v>
      </c>
      <c r="D10" s="279">
        <v>150000</v>
      </c>
      <c r="E10" s="279">
        <v>150000</v>
      </c>
      <c r="F10" s="279">
        <v>150000</v>
      </c>
      <c r="G10" s="279">
        <v>150000</v>
      </c>
      <c r="H10" s="279">
        <v>150000</v>
      </c>
      <c r="I10" s="279">
        <v>150000</v>
      </c>
    </row>
    <row r="11" spans="1:11" s="115" customFormat="1" ht="24.95" customHeight="1" x14ac:dyDescent="0.2">
      <c r="A11" s="116" t="s">
        <v>126</v>
      </c>
      <c r="B11" s="178">
        <v>250000</v>
      </c>
      <c r="C11" s="281">
        <v>250000</v>
      </c>
      <c r="D11" s="281">
        <v>250000</v>
      </c>
      <c r="E11" s="281">
        <v>250000</v>
      </c>
      <c r="F11" s="281">
        <v>250000</v>
      </c>
      <c r="G11" s="281">
        <v>250000</v>
      </c>
      <c r="H11" s="281">
        <v>250000</v>
      </c>
      <c r="I11" s="296">
        <v>250000</v>
      </c>
    </row>
    <row r="12" spans="1:11" s="118" customFormat="1" ht="12.75" customHeight="1" x14ac:dyDescent="0.2">
      <c r="A12" s="231" t="s">
        <v>28</v>
      </c>
      <c r="B12" s="232">
        <v>600000</v>
      </c>
      <c r="C12" s="279">
        <v>600000</v>
      </c>
      <c r="D12" s="279">
        <v>500000</v>
      </c>
      <c r="E12" s="279">
        <v>500000</v>
      </c>
      <c r="F12" s="279">
        <v>500000</v>
      </c>
      <c r="G12" s="279">
        <v>500000</v>
      </c>
      <c r="H12" s="279">
        <v>500000</v>
      </c>
      <c r="I12" s="279">
        <v>500000</v>
      </c>
    </row>
    <row r="13" spans="1:11" s="118" customFormat="1" ht="12.75" customHeight="1" x14ac:dyDescent="0.2">
      <c r="A13" s="231" t="s">
        <v>29</v>
      </c>
      <c r="B13" s="232">
        <v>480000</v>
      </c>
      <c r="C13" s="279">
        <v>480000</v>
      </c>
      <c r="D13" s="279">
        <v>480000</v>
      </c>
      <c r="E13" s="279">
        <v>480000</v>
      </c>
      <c r="F13" s="279">
        <v>410000</v>
      </c>
      <c r="G13" s="279">
        <v>350000</v>
      </c>
      <c r="H13" s="279">
        <v>350000</v>
      </c>
      <c r="I13" s="279">
        <v>350000</v>
      </c>
    </row>
    <row r="14" spans="1:11" s="118" customFormat="1" ht="12.75" customHeight="1" x14ac:dyDescent="0.2">
      <c r="A14" s="231" t="s">
        <v>30</v>
      </c>
      <c r="B14" s="232">
        <v>200000</v>
      </c>
      <c r="C14" s="279">
        <v>200000</v>
      </c>
      <c r="D14" s="279">
        <v>200000</v>
      </c>
      <c r="E14" s="279">
        <v>200000</v>
      </c>
      <c r="F14" s="279">
        <v>200000</v>
      </c>
      <c r="G14" s="279">
        <v>200000</v>
      </c>
      <c r="H14" s="279">
        <v>200000</v>
      </c>
      <c r="I14" s="279">
        <v>200000</v>
      </c>
    </row>
    <row r="15" spans="1:11" s="118" customFormat="1" ht="12.75" customHeight="1" x14ac:dyDescent="0.2">
      <c r="A15" s="231" t="s">
        <v>329</v>
      </c>
      <c r="B15" s="232">
        <v>0</v>
      </c>
      <c r="C15" s="279">
        <v>100000</v>
      </c>
      <c r="D15" s="279">
        <v>0</v>
      </c>
      <c r="E15" s="279">
        <v>0</v>
      </c>
      <c r="F15" s="279">
        <v>0</v>
      </c>
      <c r="G15" s="279">
        <v>10000</v>
      </c>
      <c r="H15" s="279">
        <v>10000</v>
      </c>
      <c r="I15" s="279">
        <v>10000</v>
      </c>
    </row>
    <row r="16" spans="1:11" s="115" customFormat="1" ht="24.95" customHeight="1" x14ac:dyDescent="0.2">
      <c r="A16" s="116" t="s">
        <v>31</v>
      </c>
      <c r="B16" s="178">
        <v>300000</v>
      </c>
      <c r="C16" s="281">
        <v>100000</v>
      </c>
      <c r="D16" s="281">
        <v>100000</v>
      </c>
      <c r="E16" s="281">
        <v>100000</v>
      </c>
      <c r="F16" s="281">
        <v>300000</v>
      </c>
      <c r="G16" s="281">
        <v>300000</v>
      </c>
      <c r="H16" s="281">
        <v>300000</v>
      </c>
      <c r="I16" s="296">
        <v>300000</v>
      </c>
    </row>
    <row r="17" spans="1:9" s="115" customFormat="1" ht="11.25" x14ac:dyDescent="0.2">
      <c r="A17" s="276" t="s">
        <v>330</v>
      </c>
      <c r="B17" s="277">
        <v>120000</v>
      </c>
      <c r="C17" s="282">
        <v>120000</v>
      </c>
      <c r="D17" s="282">
        <v>50000</v>
      </c>
      <c r="E17" s="282">
        <f>180000+20000</f>
        <v>200000</v>
      </c>
      <c r="F17" s="282">
        <v>21000</v>
      </c>
      <c r="G17" s="282">
        <v>22000</v>
      </c>
      <c r="H17" s="282">
        <v>0</v>
      </c>
      <c r="I17" s="297">
        <v>0</v>
      </c>
    </row>
    <row r="18" spans="1:9" s="115" customFormat="1" ht="11.25" x14ac:dyDescent="0.2">
      <c r="A18" s="276" t="s">
        <v>127</v>
      </c>
      <c r="B18" s="277">
        <v>0</v>
      </c>
      <c r="C18" s="282">
        <v>0</v>
      </c>
      <c r="D18" s="282">
        <v>0</v>
      </c>
      <c r="E18" s="282">
        <v>0</v>
      </c>
      <c r="F18" s="282">
        <v>0</v>
      </c>
      <c r="G18" s="282">
        <v>250000</v>
      </c>
      <c r="H18" s="282">
        <v>0</v>
      </c>
      <c r="I18" s="297">
        <v>0</v>
      </c>
    </row>
    <row r="19" spans="1:9" s="115" customFormat="1" ht="11.25" x14ac:dyDescent="0.2">
      <c r="A19" s="276" t="s">
        <v>434</v>
      </c>
      <c r="B19" s="277">
        <v>250000</v>
      </c>
      <c r="C19" s="282">
        <v>215000</v>
      </c>
      <c r="D19" s="282">
        <v>0</v>
      </c>
      <c r="E19" s="282">
        <v>0</v>
      </c>
      <c r="F19" s="282">
        <v>25000</v>
      </c>
      <c r="G19" s="282">
        <v>170000</v>
      </c>
      <c r="H19" s="282">
        <v>0</v>
      </c>
      <c r="I19" s="297">
        <v>0</v>
      </c>
    </row>
    <row r="20" spans="1:9" s="115" customFormat="1" ht="11.25" x14ac:dyDescent="0.2">
      <c r="A20" s="276" t="s">
        <v>122</v>
      </c>
      <c r="B20" s="277">
        <v>0</v>
      </c>
      <c r="C20" s="282">
        <v>0</v>
      </c>
      <c r="D20" s="282">
        <v>30000</v>
      </c>
      <c r="E20" s="282">
        <v>30000</v>
      </c>
      <c r="F20" s="282">
        <v>30000</v>
      </c>
      <c r="G20" s="282">
        <v>30000</v>
      </c>
      <c r="H20" s="282">
        <v>0</v>
      </c>
      <c r="I20" s="297">
        <v>0</v>
      </c>
    </row>
    <row r="21" spans="1:9" s="115" customFormat="1" ht="11.25" x14ac:dyDescent="0.2">
      <c r="A21" s="276" t="s">
        <v>124</v>
      </c>
      <c r="B21" s="277">
        <v>0</v>
      </c>
      <c r="C21" s="282">
        <v>0</v>
      </c>
      <c r="D21" s="282">
        <v>0</v>
      </c>
      <c r="E21" s="282">
        <v>0</v>
      </c>
      <c r="F21" s="282">
        <v>0</v>
      </c>
      <c r="G21" s="282">
        <v>65000</v>
      </c>
      <c r="H21" s="282">
        <v>0</v>
      </c>
      <c r="I21" s="297">
        <v>0</v>
      </c>
    </row>
    <row r="22" spans="1:9" s="118" customFormat="1" ht="12.75" customHeight="1" x14ac:dyDescent="0.2">
      <c r="A22" s="231" t="s">
        <v>32</v>
      </c>
      <c r="B22" s="232">
        <v>0</v>
      </c>
      <c r="C22" s="279">
        <v>0</v>
      </c>
      <c r="D22" s="279">
        <v>0</v>
      </c>
      <c r="E22" s="279">
        <v>0</v>
      </c>
      <c r="F22" s="279">
        <v>0</v>
      </c>
      <c r="G22" s="279">
        <v>0</v>
      </c>
      <c r="H22" s="279">
        <v>0</v>
      </c>
      <c r="I22" s="279">
        <v>0</v>
      </c>
    </row>
    <row r="23" spans="1:9" s="118" customFormat="1" ht="12.75" customHeight="1" thickBot="1" x14ac:dyDescent="0.25">
      <c r="A23" s="235" t="s">
        <v>209</v>
      </c>
      <c r="B23" s="236">
        <v>82000</v>
      </c>
      <c r="C23" s="283">
        <v>82000</v>
      </c>
      <c r="D23" s="283">
        <v>70000</v>
      </c>
      <c r="E23" s="283">
        <v>80000</v>
      </c>
      <c r="F23" s="283">
        <v>0</v>
      </c>
      <c r="G23" s="283">
        <v>0</v>
      </c>
      <c r="H23" s="283">
        <v>0</v>
      </c>
      <c r="I23" s="283">
        <v>0</v>
      </c>
    </row>
    <row r="24" spans="1:9" s="118" customFormat="1" ht="12.75" customHeight="1" thickTop="1" x14ac:dyDescent="0.2">
      <c r="A24" s="237" t="s">
        <v>33</v>
      </c>
      <c r="B24" s="238">
        <f>SUM(B5:B23)</f>
        <v>3472000</v>
      </c>
      <c r="C24" s="228">
        <f>SUM(C5:C23)</f>
        <v>3337000</v>
      </c>
      <c r="D24" s="228">
        <f>SUM(D4:D23)</f>
        <v>3670000</v>
      </c>
      <c r="E24" s="228">
        <f t="shared" ref="E24:I24" si="0">SUM(E4:E23)</f>
        <v>3830000</v>
      </c>
      <c r="F24" s="228">
        <f t="shared" si="0"/>
        <v>3726000</v>
      </c>
      <c r="G24" s="228">
        <f t="shared" si="0"/>
        <v>4237000</v>
      </c>
      <c r="H24" s="228">
        <f t="shared" si="0"/>
        <v>3900000</v>
      </c>
      <c r="I24" s="228">
        <f t="shared" si="0"/>
        <v>3900000</v>
      </c>
    </row>
    <row r="25" spans="1:9" s="52" customFormat="1" ht="12.75" customHeight="1" x14ac:dyDescent="0.2"/>
  </sheetData>
  <pageMargins left="0.7" right="0.7" top="0.75" bottom="0.75" header="0.3" footer="0.3"/>
  <pageSetup paperSize="9" scale="84" orientation="landscape" r:id="rId1"/>
  <headerFooter>
    <oddFooter>&amp;C&amp;8&amp;A&amp;R&amp;8&amp;F</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D46E3-651C-4474-875D-C2C651BD6167}">
  <sheetPr>
    <tabColor rgb="FFFFFF00"/>
    <pageSetUpPr fitToPage="1"/>
  </sheetPr>
  <dimension ref="A1:R52"/>
  <sheetViews>
    <sheetView zoomScaleNormal="100" workbookViewId="0"/>
  </sheetViews>
  <sheetFormatPr defaultColWidth="9.140625" defaultRowHeight="12" x14ac:dyDescent="0.2"/>
  <cols>
    <col min="1" max="1" width="16.5703125" style="891" customWidth="1"/>
    <col min="2" max="2" width="11.85546875" style="891" customWidth="1"/>
    <col min="3" max="3" width="10.7109375" style="891" customWidth="1"/>
    <col min="4" max="4" width="11.85546875" style="891" customWidth="1"/>
    <col min="5" max="9" width="10.7109375" style="891" customWidth="1"/>
    <col min="10" max="10" width="11.5703125" style="891" customWidth="1"/>
    <col min="11" max="12" width="10.7109375" style="891" customWidth="1"/>
    <col min="13" max="13" width="11.28515625" style="891" customWidth="1"/>
    <col min="14" max="14" width="11.7109375" style="891" customWidth="1"/>
    <col min="15" max="15" width="10.85546875" style="891" customWidth="1"/>
    <col min="16" max="16" width="11.42578125" style="891" customWidth="1"/>
    <col min="17" max="17" width="10.5703125" style="892" customWidth="1"/>
    <col min="18" max="18" width="10.85546875" style="891" bestFit="1" customWidth="1"/>
    <col min="19" max="16384" width="9.140625" style="891"/>
  </cols>
  <sheetData>
    <row r="1" spans="1:17" ht="15" x14ac:dyDescent="0.25">
      <c r="A1" s="890" t="s">
        <v>355</v>
      </c>
    </row>
    <row r="2" spans="1:17" x14ac:dyDescent="0.2">
      <c r="A2" s="893"/>
    </row>
    <row r="3" spans="1:17" s="895" customFormat="1" ht="15" customHeight="1" x14ac:dyDescent="0.2">
      <c r="A3" s="894" t="s">
        <v>55</v>
      </c>
      <c r="Q3" s="892"/>
    </row>
    <row r="4" spans="1:17" s="895" customFormat="1" ht="15" customHeight="1" x14ac:dyDescent="0.2">
      <c r="A4" s="1463" t="s">
        <v>34</v>
      </c>
      <c r="B4" s="896">
        <v>25100</v>
      </c>
      <c r="C4" s="896">
        <v>25150</v>
      </c>
      <c r="D4" s="896">
        <v>25200</v>
      </c>
      <c r="E4" s="1506">
        <v>25220</v>
      </c>
      <c r="F4" s="1506">
        <v>25230</v>
      </c>
      <c r="G4" s="896">
        <v>25300</v>
      </c>
      <c r="H4" s="896">
        <v>25350</v>
      </c>
      <c r="I4" s="896">
        <v>25351</v>
      </c>
      <c r="J4" s="896">
        <v>25400</v>
      </c>
      <c r="K4" s="896">
        <v>25500</v>
      </c>
      <c r="L4" s="896">
        <v>25600</v>
      </c>
      <c r="M4" s="896">
        <v>25700</v>
      </c>
      <c r="N4" s="896">
        <v>25800</v>
      </c>
      <c r="O4" s="896">
        <v>25810</v>
      </c>
      <c r="P4" s="1473" t="s">
        <v>44</v>
      </c>
      <c r="Q4" s="892"/>
    </row>
    <row r="5" spans="1:17" s="895" customFormat="1" ht="15" customHeight="1" x14ac:dyDescent="0.2">
      <c r="A5" s="1464"/>
      <c r="B5" s="896" t="s">
        <v>87</v>
      </c>
      <c r="C5" s="896" t="s">
        <v>88</v>
      </c>
      <c r="D5" s="896" t="s">
        <v>102</v>
      </c>
      <c r="E5" s="1506" t="s">
        <v>119</v>
      </c>
      <c r="F5" s="1506" t="s">
        <v>120</v>
      </c>
      <c r="G5" s="896" t="s">
        <v>89</v>
      </c>
      <c r="H5" s="896" t="s">
        <v>90</v>
      </c>
      <c r="I5" s="896" t="s">
        <v>91</v>
      </c>
      <c r="J5" s="896" t="s">
        <v>92</v>
      </c>
      <c r="K5" s="896" t="s">
        <v>93</v>
      </c>
      <c r="L5" s="896" t="s">
        <v>94</v>
      </c>
      <c r="M5" s="896" t="s">
        <v>95</v>
      </c>
      <c r="N5" s="896" t="s">
        <v>96</v>
      </c>
      <c r="O5" s="896" t="s">
        <v>97</v>
      </c>
      <c r="P5" s="1473"/>
      <c r="Q5" s="892"/>
    </row>
    <row r="6" spans="1:17" s="895" customFormat="1" ht="15" customHeight="1" x14ac:dyDescent="0.2">
      <c r="A6" s="897" t="s">
        <v>356</v>
      </c>
      <c r="B6" s="898">
        <f>'[1]Rozdělení financí FF 2022'!$C$4</f>
        <v>6608619.0530966138</v>
      </c>
      <c r="C6" s="898">
        <f>'[1]Rozdělení financí FF 2022'!$C$5</f>
        <v>4374164.9587948015</v>
      </c>
      <c r="D6" s="898">
        <f>'[1]Rozdělení financí FF 2022'!$C$6</f>
        <v>9228565.859773783</v>
      </c>
      <c r="E6" s="1507">
        <f>'[1]Rozdělení financí FF 2022'!$C$7</f>
        <v>3933173.2989531578</v>
      </c>
      <c r="F6" s="1507">
        <f>'[1]Rozdělení financí FF 2022'!$C$8</f>
        <v>5295521.3326218324</v>
      </c>
      <c r="G6" s="898">
        <f>'[1]Rozdělení financí FF 2022'!$C$9</f>
        <v>5637843.5669378294</v>
      </c>
      <c r="H6" s="898">
        <f>'[1]Rozdělení financí FF 2022'!$C$10</f>
        <v>5199199.8352268152</v>
      </c>
      <c r="I6" s="898">
        <f>'[1]Rozdělení financí FF 2022'!$C$11</f>
        <v>4729459.7100118445</v>
      </c>
      <c r="J6" s="898">
        <f>'[1]Rozdělení financí FF 2022'!$C$13</f>
        <v>9633726.6873127259</v>
      </c>
      <c r="K6" s="898">
        <f>'[1]Rozdělení financí FF 2022'!$C$14</f>
        <v>8770747.1422393583</v>
      </c>
      <c r="L6" s="898">
        <f>'[1]Rozdělení financí FF 2022'!$C$15</f>
        <v>7509040.5515827471</v>
      </c>
      <c r="M6" s="898">
        <f>'[1]Rozdělení financí FF 2022'!$C$17</f>
        <v>5541727.7481867103</v>
      </c>
      <c r="N6" s="898">
        <f>'[1]Rozdělení financí FF 2022'!$C$18</f>
        <v>7570422.6554293567</v>
      </c>
      <c r="O6" s="898">
        <f>'[1]Rozdělení financí FF 2022'!$C$19</f>
        <v>3357672.7132333894</v>
      </c>
      <c r="P6" s="899">
        <f>SUM(B6:O6)-E6-F6</f>
        <v>78161190.481826007</v>
      </c>
      <c r="Q6" s="900"/>
    </row>
    <row r="7" spans="1:17" s="895" customFormat="1" ht="15" customHeight="1" x14ac:dyDescent="0.2">
      <c r="A7" s="897" t="s">
        <v>357</v>
      </c>
      <c r="B7" s="898">
        <v>6606202</v>
      </c>
      <c r="C7" s="898">
        <v>4631003</v>
      </c>
      <c r="D7" s="898">
        <v>9371604</v>
      </c>
      <c r="E7" s="1507">
        <v>4010942</v>
      </c>
      <c r="F7" s="1507">
        <v>5360790</v>
      </c>
      <c r="G7" s="898">
        <v>5315903</v>
      </c>
      <c r="H7" s="898">
        <v>5485450</v>
      </c>
      <c r="I7" s="898">
        <v>4773127</v>
      </c>
      <c r="J7" s="898">
        <v>9858456</v>
      </c>
      <c r="K7" s="898">
        <v>8463883</v>
      </c>
      <c r="L7" s="898">
        <v>7996475</v>
      </c>
      <c r="M7" s="898">
        <v>5702432</v>
      </c>
      <c r="N7" s="898">
        <v>7746897</v>
      </c>
      <c r="O7" s="898">
        <v>3399158</v>
      </c>
      <c r="P7" s="899">
        <f>SUM(B7:O7)-E7-F7</f>
        <v>79350590</v>
      </c>
      <c r="Q7" s="900"/>
    </row>
    <row r="8" spans="1:17" s="895" customFormat="1" ht="15" customHeight="1" x14ac:dyDescent="0.2">
      <c r="A8" s="901" t="s">
        <v>358</v>
      </c>
      <c r="B8" s="902">
        <f>B6-B7</f>
        <v>2417.0530966138467</v>
      </c>
      <c r="C8" s="902">
        <f t="shared" ref="C8:O8" si="0">C6-C7</f>
        <v>-256838.0412051985</v>
      </c>
      <c r="D8" s="902">
        <f>D6-D7</f>
        <v>-143038.14022621699</v>
      </c>
      <c r="E8" s="1514">
        <f t="shared" si="0"/>
        <v>-77768.70104684215</v>
      </c>
      <c r="F8" s="1514">
        <f t="shared" si="0"/>
        <v>-65268.667378167622</v>
      </c>
      <c r="G8" s="902">
        <f t="shared" si="0"/>
        <v>321940.56693782937</v>
      </c>
      <c r="H8" s="902">
        <f t="shared" si="0"/>
        <v>-286250.16477318481</v>
      </c>
      <c r="I8" s="902">
        <f t="shared" si="0"/>
        <v>-43667.289988155477</v>
      </c>
      <c r="J8" s="902">
        <f t="shared" si="0"/>
        <v>-224729.31268727407</v>
      </c>
      <c r="K8" s="902">
        <f t="shared" si="0"/>
        <v>306864.14223935828</v>
      </c>
      <c r="L8" s="902">
        <f t="shared" si="0"/>
        <v>-487434.44841725286</v>
      </c>
      <c r="M8" s="902">
        <f t="shared" si="0"/>
        <v>-160704.25181328971</v>
      </c>
      <c r="N8" s="902">
        <f t="shared" si="0"/>
        <v>-176474.34457064327</v>
      </c>
      <c r="O8" s="902">
        <f t="shared" si="0"/>
        <v>-41485.286766610574</v>
      </c>
      <c r="P8" s="902">
        <f>SUM(B8:O8)-E8-F8</f>
        <v>-1189399.5181740248</v>
      </c>
      <c r="Q8" s="903">
        <f>P6-P7</f>
        <v>-1189399.5181739926</v>
      </c>
    </row>
    <row r="9" spans="1:17" s="907" customFormat="1" ht="20.100000000000001" customHeight="1" x14ac:dyDescent="0.2">
      <c r="A9" s="904"/>
      <c r="B9" s="905"/>
      <c r="C9" s="905"/>
      <c r="D9" s="905"/>
      <c r="E9" s="1515"/>
      <c r="F9" s="1515"/>
      <c r="G9" s="905"/>
      <c r="H9" s="905"/>
      <c r="I9" s="905"/>
      <c r="J9" s="905"/>
      <c r="K9" s="905"/>
      <c r="L9" s="905"/>
      <c r="M9" s="905"/>
      <c r="N9" s="905"/>
      <c r="O9" s="905"/>
      <c r="P9" s="905"/>
      <c r="Q9" s="906"/>
    </row>
    <row r="10" spans="1:17" s="911" customFormat="1" ht="11.25" x14ac:dyDescent="0.2">
      <c r="A10" s="908" t="s">
        <v>359</v>
      </c>
      <c r="B10" s="1186">
        <f>B8</f>
        <v>2417.0530966138467</v>
      </c>
      <c r="C10" s="909">
        <v>0</v>
      </c>
      <c r="D10" s="909">
        <v>0</v>
      </c>
      <c r="E10" s="1516">
        <v>0</v>
      </c>
      <c r="F10" s="1516">
        <v>0</v>
      </c>
      <c r="G10" s="1186">
        <f>G8</f>
        <v>321940.56693782937</v>
      </c>
      <c r="H10" s="909">
        <v>0</v>
      </c>
      <c r="I10" s="909">
        <v>0</v>
      </c>
      <c r="J10" s="909">
        <v>0</v>
      </c>
      <c r="K10" s="1186">
        <f>K8</f>
        <v>306864.14223935828</v>
      </c>
      <c r="L10" s="909">
        <v>0</v>
      </c>
      <c r="M10" s="909">
        <v>0</v>
      </c>
      <c r="N10" s="909">
        <v>0</v>
      </c>
      <c r="O10" s="909">
        <v>0</v>
      </c>
      <c r="P10" s="909">
        <f>SUM(B10:O10)-E10-F10</f>
        <v>631221.76227380149</v>
      </c>
      <c r="Q10" s="910"/>
    </row>
    <row r="11" spans="1:17" s="911" customFormat="1" ht="11.25" x14ac:dyDescent="0.2">
      <c r="A11" s="912" t="s">
        <v>360</v>
      </c>
      <c r="B11" s="913">
        <v>0</v>
      </c>
      <c r="C11" s="913">
        <v>0</v>
      </c>
      <c r="D11" s="913">
        <v>0</v>
      </c>
      <c r="E11" s="1517">
        <v>0</v>
      </c>
      <c r="F11" s="1517">
        <v>0</v>
      </c>
      <c r="G11" s="913">
        <v>0</v>
      </c>
      <c r="H11" s="913">
        <v>0</v>
      </c>
      <c r="I11" s="913">
        <v>0</v>
      </c>
      <c r="J11" s="913">
        <v>0</v>
      </c>
      <c r="K11" s="913">
        <v>0</v>
      </c>
      <c r="L11" s="913">
        <v>0</v>
      </c>
      <c r="M11" s="913">
        <v>0</v>
      </c>
      <c r="N11" s="913">
        <v>0</v>
      </c>
      <c r="O11" s="913">
        <v>0</v>
      </c>
      <c r="P11" s="913">
        <f>SUM(B11:O11)-E11-F11</f>
        <v>0</v>
      </c>
      <c r="Q11" s="910"/>
    </row>
    <row r="12" spans="1:17" s="911" customFormat="1" ht="11.25" x14ac:dyDescent="0.2">
      <c r="A12" s="912" t="s">
        <v>361</v>
      </c>
      <c r="B12" s="913">
        <v>0</v>
      </c>
      <c r="C12" s="913">
        <v>0</v>
      </c>
      <c r="D12" s="913">
        <v>0</v>
      </c>
      <c r="E12" s="1517">
        <v>0</v>
      </c>
      <c r="F12" s="1517">
        <v>0</v>
      </c>
      <c r="G12" s="913">
        <v>0</v>
      </c>
      <c r="H12" s="913">
        <v>0</v>
      </c>
      <c r="I12" s="913">
        <v>0</v>
      </c>
      <c r="J12" s="913">
        <v>0</v>
      </c>
      <c r="K12" s="913">
        <v>0</v>
      </c>
      <c r="L12" s="913">
        <v>0</v>
      </c>
      <c r="M12" s="913">
        <v>0</v>
      </c>
      <c r="N12" s="913">
        <v>0</v>
      </c>
      <c r="O12" s="913">
        <v>0</v>
      </c>
      <c r="P12" s="914">
        <f>SUM(B12:O12)-E12-F12</f>
        <v>0</v>
      </c>
      <c r="Q12" s="910"/>
    </row>
    <row r="13" spans="1:17" s="918" customFormat="1" ht="33.75" x14ac:dyDescent="0.2">
      <c r="A13" s="915" t="s">
        <v>362</v>
      </c>
      <c r="B13" s="1185">
        <f>B10+B11+B12</f>
        <v>2417.0530966138467</v>
      </c>
      <c r="C13" s="916">
        <f t="shared" ref="C13:O13" si="1">C10+C11+C12</f>
        <v>0</v>
      </c>
      <c r="D13" s="916">
        <f t="shared" si="1"/>
        <v>0</v>
      </c>
      <c r="E13" s="1518">
        <f t="shared" si="1"/>
        <v>0</v>
      </c>
      <c r="F13" s="1518">
        <f t="shared" si="1"/>
        <v>0</v>
      </c>
      <c r="G13" s="1185">
        <f t="shared" si="1"/>
        <v>321940.56693782937</v>
      </c>
      <c r="H13" s="916">
        <f t="shared" si="1"/>
        <v>0</v>
      </c>
      <c r="I13" s="916">
        <f t="shared" si="1"/>
        <v>0</v>
      </c>
      <c r="J13" s="916">
        <f t="shared" si="1"/>
        <v>0</v>
      </c>
      <c r="K13" s="1185">
        <f t="shared" si="1"/>
        <v>306864.14223935828</v>
      </c>
      <c r="L13" s="916">
        <f t="shared" si="1"/>
        <v>0</v>
      </c>
      <c r="M13" s="916">
        <f t="shared" si="1"/>
        <v>0</v>
      </c>
      <c r="N13" s="916">
        <f t="shared" si="1"/>
        <v>0</v>
      </c>
      <c r="O13" s="916">
        <f t="shared" si="1"/>
        <v>0</v>
      </c>
      <c r="P13" s="1185">
        <f>SUM(B13:O13)-E13-F13</f>
        <v>631221.76227380149</v>
      </c>
      <c r="Q13" s="917">
        <f>P10+P11+P12</f>
        <v>631221.76227380149</v>
      </c>
    </row>
    <row r="14" spans="1:17" s="907" customFormat="1" ht="20.100000000000001" customHeight="1" x14ac:dyDescent="0.2">
      <c r="A14" s="919"/>
      <c r="B14" s="920"/>
      <c r="C14" s="920"/>
      <c r="D14" s="920"/>
      <c r="E14" s="1519"/>
      <c r="F14" s="1519"/>
      <c r="G14" s="920"/>
      <c r="H14" s="920"/>
      <c r="I14" s="920"/>
      <c r="J14" s="920"/>
      <c r="K14" s="920"/>
      <c r="L14" s="920"/>
      <c r="M14" s="920"/>
      <c r="N14" s="920"/>
      <c r="O14" s="920"/>
      <c r="P14" s="920"/>
      <c r="Q14" s="906"/>
    </row>
    <row r="15" spans="1:17" s="895" customFormat="1" ht="15" customHeight="1" x14ac:dyDescent="0.2">
      <c r="A15" s="908" t="s">
        <v>322</v>
      </c>
      <c r="B15" s="909">
        <v>0</v>
      </c>
      <c r="C15" s="909">
        <v>256248</v>
      </c>
      <c r="D15" s="909">
        <v>209312</v>
      </c>
      <c r="E15" s="1516">
        <v>143335</v>
      </c>
      <c r="F15" s="1516">
        <v>65977</v>
      </c>
      <c r="G15" s="909">
        <v>0</v>
      </c>
      <c r="H15" s="909">
        <v>270801</v>
      </c>
      <c r="I15" s="909">
        <v>39906</v>
      </c>
      <c r="J15" s="909">
        <v>227268</v>
      </c>
      <c r="K15" s="909">
        <v>0</v>
      </c>
      <c r="L15" s="909">
        <v>487238</v>
      </c>
      <c r="M15" s="909">
        <v>166241</v>
      </c>
      <c r="N15" s="909">
        <v>187591</v>
      </c>
      <c r="O15" s="909">
        <v>105395</v>
      </c>
      <c r="P15" s="909">
        <f>SUM(B15:O15)-E15-F15</f>
        <v>1950000</v>
      </c>
      <c r="Q15" s="900"/>
    </row>
    <row r="16" spans="1:17" s="921" customFormat="1" ht="15" customHeight="1" x14ac:dyDescent="0.2">
      <c r="A16" s="912" t="s">
        <v>291</v>
      </c>
      <c r="B16" s="913">
        <v>0</v>
      </c>
      <c r="C16" s="913">
        <v>0</v>
      </c>
      <c r="D16" s="913">
        <v>-75951</v>
      </c>
      <c r="E16" s="1517">
        <v>-65472</v>
      </c>
      <c r="F16" s="1517">
        <v>-10479</v>
      </c>
      <c r="G16" s="913">
        <v>0</v>
      </c>
      <c r="H16" s="913">
        <v>-1459</v>
      </c>
      <c r="I16" s="913">
        <v>0</v>
      </c>
      <c r="J16" s="913">
        <v>-2537</v>
      </c>
      <c r="K16" s="913">
        <v>0</v>
      </c>
      <c r="L16" s="913">
        <v>0</v>
      </c>
      <c r="M16" s="913">
        <v>0</v>
      </c>
      <c r="N16" s="913">
        <v>-4186</v>
      </c>
      <c r="O16" s="913">
        <v>-63907</v>
      </c>
      <c r="P16" s="914">
        <f>SUM(B16:O16)-E16-F16</f>
        <v>-148040</v>
      </c>
    </row>
    <row r="17" spans="1:18" s="921" customFormat="1" ht="15" customHeight="1" x14ac:dyDescent="0.2">
      <c r="A17" s="912" t="s">
        <v>292</v>
      </c>
      <c r="B17" s="913">
        <v>0</v>
      </c>
      <c r="C17" s="913">
        <v>-256248</v>
      </c>
      <c r="D17" s="913">
        <f>-77769-65269</f>
        <v>-143038</v>
      </c>
      <c r="E17" s="1517">
        <v>-77769</v>
      </c>
      <c r="F17" s="1517">
        <v>-65269</v>
      </c>
      <c r="G17" s="913">
        <v>0</v>
      </c>
      <c r="H17" s="913">
        <v>-286250</v>
      </c>
      <c r="I17" s="913">
        <v>-43667</v>
      </c>
      <c r="J17" s="913">
        <v>-224729</v>
      </c>
      <c r="K17" s="913">
        <v>0</v>
      </c>
      <c r="L17" s="913">
        <v>-487238</v>
      </c>
      <c r="M17" s="913">
        <v>-160704</v>
      </c>
      <c r="N17" s="913">
        <v>-176474</v>
      </c>
      <c r="O17" s="913">
        <v>-41485</v>
      </c>
      <c r="P17" s="913">
        <f>SUM(B17:O17)-E17-F17</f>
        <v>-1819833</v>
      </c>
    </row>
    <row r="18" spans="1:18" s="923" customFormat="1" ht="33.75" x14ac:dyDescent="0.2">
      <c r="A18" s="915" t="s">
        <v>293</v>
      </c>
      <c r="B18" s="916">
        <f>B15+B16+B17</f>
        <v>0</v>
      </c>
      <c r="C18" s="916">
        <f t="shared" ref="C18:O18" si="2">C15+C16+C17</f>
        <v>0</v>
      </c>
      <c r="D18" s="916">
        <f t="shared" si="2"/>
        <v>-9677</v>
      </c>
      <c r="E18" s="1518">
        <f t="shared" si="2"/>
        <v>94</v>
      </c>
      <c r="F18" s="1518">
        <f t="shared" si="2"/>
        <v>-9771</v>
      </c>
      <c r="G18" s="916">
        <f t="shared" si="2"/>
        <v>0</v>
      </c>
      <c r="H18" s="916">
        <f t="shared" si="2"/>
        <v>-16908</v>
      </c>
      <c r="I18" s="916">
        <f t="shared" si="2"/>
        <v>-3761</v>
      </c>
      <c r="J18" s="916">
        <f t="shared" si="2"/>
        <v>2</v>
      </c>
      <c r="K18" s="916">
        <f t="shared" si="2"/>
        <v>0</v>
      </c>
      <c r="L18" s="916">
        <f t="shared" si="2"/>
        <v>0</v>
      </c>
      <c r="M18" s="916">
        <f t="shared" si="2"/>
        <v>5537</v>
      </c>
      <c r="N18" s="916">
        <f t="shared" si="2"/>
        <v>6931</v>
      </c>
      <c r="O18" s="916">
        <f t="shared" si="2"/>
        <v>3</v>
      </c>
      <c r="P18" s="916">
        <f>SUM(B18:O18)-E18-F18</f>
        <v>-17873</v>
      </c>
      <c r="Q18" s="922">
        <f>P15+P16+P17</f>
        <v>-17873</v>
      </c>
    </row>
    <row r="19" spans="1:18" s="907" customFormat="1" ht="20.100000000000001" customHeight="1" x14ac:dyDescent="0.2">
      <c r="A19" s="904"/>
      <c r="B19" s="905"/>
      <c r="C19" s="905"/>
      <c r="D19" s="905"/>
      <c r="E19" s="1508"/>
      <c r="F19" s="1508"/>
      <c r="G19" s="905"/>
      <c r="H19" s="905"/>
      <c r="I19" s="905"/>
      <c r="J19" s="905"/>
      <c r="K19" s="905"/>
      <c r="L19" s="905"/>
      <c r="M19" s="905"/>
      <c r="N19" s="905"/>
      <c r="O19" s="905"/>
      <c r="P19" s="905"/>
      <c r="Q19" s="906"/>
      <c r="R19" s="924"/>
    </row>
    <row r="20" spans="1:18" s="923" customFormat="1" ht="11.25" x14ac:dyDescent="0.2">
      <c r="A20" s="908" t="s">
        <v>323</v>
      </c>
      <c r="B20" s="909">
        <v>122796</v>
      </c>
      <c r="C20" s="909">
        <v>54119</v>
      </c>
      <c r="D20" s="909">
        <v>0</v>
      </c>
      <c r="E20" s="1507">
        <v>0</v>
      </c>
      <c r="F20" s="1507">
        <v>0</v>
      </c>
      <c r="G20" s="909">
        <v>0</v>
      </c>
      <c r="H20" s="909">
        <v>0</v>
      </c>
      <c r="I20" s="909">
        <v>0</v>
      </c>
      <c r="J20" s="909">
        <v>0</v>
      </c>
      <c r="K20" s="909">
        <v>0</v>
      </c>
      <c r="L20" s="909">
        <v>31143</v>
      </c>
      <c r="M20" s="909">
        <v>0</v>
      </c>
      <c r="N20" s="909">
        <v>0</v>
      </c>
      <c r="O20" s="909">
        <v>0</v>
      </c>
      <c r="P20" s="909">
        <f>SUM(B20:O20)-E20-F20</f>
        <v>208058</v>
      </c>
      <c r="Q20" s="900"/>
    </row>
    <row r="21" spans="1:18" s="923" customFormat="1" ht="11.25" x14ac:dyDescent="0.2">
      <c r="A21" s="925" t="s">
        <v>324</v>
      </c>
      <c r="B21" s="926">
        <v>0</v>
      </c>
      <c r="C21" s="1187">
        <v>-590</v>
      </c>
      <c r="D21" s="926">
        <v>0</v>
      </c>
      <c r="E21" s="1509">
        <v>0</v>
      </c>
      <c r="F21" s="1509">
        <v>0</v>
      </c>
      <c r="G21" s="926">
        <v>0</v>
      </c>
      <c r="H21" s="926">
        <v>0</v>
      </c>
      <c r="I21" s="926">
        <v>0</v>
      </c>
      <c r="J21" s="926">
        <v>0</v>
      </c>
      <c r="K21" s="926">
        <v>0</v>
      </c>
      <c r="L21" s="1187">
        <v>-196</v>
      </c>
      <c r="M21" s="926">
        <v>0</v>
      </c>
      <c r="N21" s="926">
        <v>0</v>
      </c>
      <c r="O21" s="926">
        <v>0</v>
      </c>
      <c r="P21" s="1187">
        <f>SUM(B21:O21)-E21-F21</f>
        <v>-786</v>
      </c>
      <c r="Q21" s="900"/>
    </row>
    <row r="22" spans="1:18" s="923" customFormat="1" ht="11.25" x14ac:dyDescent="0.2">
      <c r="A22" s="925" t="s">
        <v>325</v>
      </c>
      <c r="B22" s="926">
        <v>0</v>
      </c>
      <c r="C22" s="926">
        <v>0</v>
      </c>
      <c r="D22" s="926">
        <v>0</v>
      </c>
      <c r="E22" s="1509">
        <v>0</v>
      </c>
      <c r="F22" s="1509">
        <v>0</v>
      </c>
      <c r="G22" s="926">
        <v>0</v>
      </c>
      <c r="H22" s="926">
        <v>0</v>
      </c>
      <c r="I22" s="926">
        <v>0</v>
      </c>
      <c r="J22" s="926">
        <v>0</v>
      </c>
      <c r="K22" s="926">
        <v>0</v>
      </c>
      <c r="L22" s="926">
        <v>0</v>
      </c>
      <c r="M22" s="926">
        <v>0</v>
      </c>
      <c r="N22" s="926">
        <v>0</v>
      </c>
      <c r="O22" s="926">
        <v>0</v>
      </c>
      <c r="P22" s="926">
        <f>SUM(B22:O22)-E22-F22</f>
        <v>0</v>
      </c>
      <c r="Q22" s="910"/>
    </row>
    <row r="23" spans="1:18" s="923" customFormat="1" ht="33.75" x14ac:dyDescent="0.2">
      <c r="A23" s="927" t="s">
        <v>326</v>
      </c>
      <c r="B23" s="928">
        <f>B20+B21+B22</f>
        <v>122796</v>
      </c>
      <c r="C23" s="928">
        <f t="shared" ref="C23:O23" si="3">C20+C21+C22</f>
        <v>53529</v>
      </c>
      <c r="D23" s="928">
        <f t="shared" si="3"/>
        <v>0</v>
      </c>
      <c r="E23" s="1510">
        <f t="shared" si="3"/>
        <v>0</v>
      </c>
      <c r="F23" s="1510">
        <f t="shared" si="3"/>
        <v>0</v>
      </c>
      <c r="G23" s="928">
        <f>G20+G21+G22</f>
        <v>0</v>
      </c>
      <c r="H23" s="928">
        <f t="shared" si="3"/>
        <v>0</v>
      </c>
      <c r="I23" s="928">
        <f t="shared" si="3"/>
        <v>0</v>
      </c>
      <c r="J23" s="928">
        <f t="shared" si="3"/>
        <v>0</v>
      </c>
      <c r="K23" s="928">
        <f t="shared" si="3"/>
        <v>0</v>
      </c>
      <c r="L23" s="928">
        <f t="shared" si="3"/>
        <v>30947</v>
      </c>
      <c r="M23" s="928">
        <f t="shared" si="3"/>
        <v>0</v>
      </c>
      <c r="N23" s="928">
        <f t="shared" si="3"/>
        <v>0</v>
      </c>
      <c r="O23" s="928">
        <f t="shared" si="3"/>
        <v>0</v>
      </c>
      <c r="P23" s="929">
        <f>SUM(B23:O23)-E23-F23</f>
        <v>207272</v>
      </c>
      <c r="Q23" s="922">
        <f>P20+P21+P22</f>
        <v>207272</v>
      </c>
    </row>
    <row r="24" spans="1:18" s="918" customFormat="1" ht="30" customHeight="1" x14ac:dyDescent="0.2">
      <c r="A24" s="930"/>
      <c r="B24" s="931"/>
      <c r="C24" s="931"/>
      <c r="D24" s="931"/>
      <c r="E24" s="1511"/>
      <c r="F24" s="1511"/>
      <c r="G24" s="931"/>
      <c r="H24" s="931"/>
      <c r="I24" s="931"/>
      <c r="J24" s="931"/>
      <c r="K24" s="931"/>
      <c r="L24" s="931"/>
      <c r="M24" s="931"/>
      <c r="N24" s="931"/>
      <c r="O24" s="931"/>
      <c r="P24" s="931"/>
      <c r="Q24" s="932"/>
    </row>
    <row r="25" spans="1:18" s="935" customFormat="1" ht="15.75" customHeight="1" x14ac:dyDescent="0.2">
      <c r="A25" s="1474" t="s">
        <v>34</v>
      </c>
      <c r="B25" s="933">
        <v>25100</v>
      </c>
      <c r="C25" s="933">
        <v>25150</v>
      </c>
      <c r="D25" s="933">
        <v>25200</v>
      </c>
      <c r="E25" s="1512">
        <v>25220</v>
      </c>
      <c r="F25" s="1512">
        <v>25230</v>
      </c>
      <c r="G25" s="933">
        <v>25300</v>
      </c>
      <c r="H25" s="933">
        <v>25350</v>
      </c>
      <c r="I25" s="933">
        <v>25351</v>
      </c>
      <c r="J25" s="933">
        <v>25400</v>
      </c>
      <c r="K25" s="933">
        <v>25500</v>
      </c>
      <c r="L25" s="933">
        <v>25600</v>
      </c>
      <c r="M25" s="933">
        <v>25700</v>
      </c>
      <c r="N25" s="933">
        <v>25800</v>
      </c>
      <c r="O25" s="933">
        <v>25810</v>
      </c>
      <c r="P25" s="1476" t="s">
        <v>44</v>
      </c>
      <c r="Q25" s="934"/>
    </row>
    <row r="26" spans="1:18" s="935" customFormat="1" ht="15.75" customHeight="1" x14ac:dyDescent="0.2">
      <c r="A26" s="1475"/>
      <c r="B26" s="933" t="s">
        <v>87</v>
      </c>
      <c r="C26" s="933" t="s">
        <v>88</v>
      </c>
      <c r="D26" s="933" t="s">
        <v>102</v>
      </c>
      <c r="E26" s="1512" t="s">
        <v>119</v>
      </c>
      <c r="F26" s="1512" t="s">
        <v>120</v>
      </c>
      <c r="G26" s="933" t="s">
        <v>89</v>
      </c>
      <c r="H26" s="933" t="s">
        <v>90</v>
      </c>
      <c r="I26" s="933" t="s">
        <v>91</v>
      </c>
      <c r="J26" s="933" t="s">
        <v>92</v>
      </c>
      <c r="K26" s="933" t="s">
        <v>93</v>
      </c>
      <c r="L26" s="933" t="s">
        <v>94</v>
      </c>
      <c r="M26" s="933" t="s">
        <v>95</v>
      </c>
      <c r="N26" s="933" t="s">
        <v>96</v>
      </c>
      <c r="O26" s="933" t="s">
        <v>97</v>
      </c>
      <c r="P26" s="1476"/>
      <c r="Q26" s="934"/>
    </row>
    <row r="27" spans="1:18" s="939" customFormat="1" ht="22.5" customHeight="1" x14ac:dyDescent="0.2">
      <c r="A27" s="936" t="s">
        <v>363</v>
      </c>
      <c r="B27" s="937">
        <f>B18+B23+B13</f>
        <v>125213.05309661385</v>
      </c>
      <c r="C27" s="937">
        <f t="shared" ref="C27:L27" si="4">C18+C23+C13</f>
        <v>53529</v>
      </c>
      <c r="D27" s="937">
        <v>0</v>
      </c>
      <c r="E27" s="1513">
        <v>0</v>
      </c>
      <c r="F27" s="1513">
        <v>0</v>
      </c>
      <c r="G27" s="937">
        <f t="shared" si="4"/>
        <v>321940.56693782937</v>
      </c>
      <c r="H27" s="937">
        <v>0</v>
      </c>
      <c r="I27" s="937">
        <v>0</v>
      </c>
      <c r="J27" s="937">
        <v>0</v>
      </c>
      <c r="K27" s="937">
        <f t="shared" si="4"/>
        <v>306864.14223935828</v>
      </c>
      <c r="L27" s="937">
        <f t="shared" si="4"/>
        <v>30947</v>
      </c>
      <c r="M27" s="937">
        <v>0</v>
      </c>
      <c r="N27" s="937">
        <v>0</v>
      </c>
      <c r="O27" s="937">
        <v>0</v>
      </c>
      <c r="P27" s="937">
        <f>SUM(B27:O27)-E27-F27</f>
        <v>838493.76227380149</v>
      </c>
      <c r="Q27" s="938"/>
    </row>
    <row r="28" spans="1:18" s="911" customFormat="1" ht="30" customHeight="1" x14ac:dyDescent="0.2">
      <c r="A28" s="930"/>
      <c r="B28" s="931"/>
      <c r="C28" s="931"/>
      <c r="D28" s="931"/>
      <c r="E28" s="931"/>
      <c r="F28" s="931"/>
      <c r="G28" s="931"/>
      <c r="H28" s="931"/>
      <c r="I28" s="931"/>
      <c r="J28" s="931"/>
      <c r="K28" s="931"/>
      <c r="L28" s="931"/>
      <c r="M28" s="931"/>
      <c r="N28" s="931"/>
      <c r="O28" s="931"/>
      <c r="P28" s="931"/>
      <c r="Q28" s="940"/>
    </row>
    <row r="29" spans="1:18" s="895" customFormat="1" ht="15" customHeight="1" x14ac:dyDescent="0.2">
      <c r="A29" s="941" t="s">
        <v>56</v>
      </c>
      <c r="B29" s="942"/>
      <c r="C29" s="942"/>
      <c r="D29" s="942"/>
      <c r="E29" s="942"/>
      <c r="F29" s="942"/>
      <c r="G29" s="942"/>
      <c r="H29" s="942"/>
      <c r="I29" s="942"/>
      <c r="J29" s="942"/>
      <c r="K29" s="942"/>
      <c r="L29" s="942"/>
      <c r="M29" s="942"/>
      <c r="N29" s="942"/>
      <c r="Q29" s="892"/>
    </row>
    <row r="30" spans="1:18" s="895" customFormat="1" ht="15" customHeight="1" x14ac:dyDescent="0.2">
      <c r="A30" s="1463" t="s">
        <v>34</v>
      </c>
      <c r="B30" s="896">
        <v>25352</v>
      </c>
      <c r="C30" s="943" t="s">
        <v>65</v>
      </c>
      <c r="D30" s="896">
        <v>25820</v>
      </c>
      <c r="E30" s="896">
        <v>25830</v>
      </c>
      <c r="F30" s="1477" t="s">
        <v>17</v>
      </c>
      <c r="G30" s="944"/>
      <c r="H30" s="942"/>
      <c r="I30" s="942"/>
      <c r="J30" s="942"/>
      <c r="K30" s="942"/>
      <c r="L30" s="942"/>
      <c r="M30" s="942"/>
      <c r="N30" s="942"/>
      <c r="O30" s="942"/>
      <c r="P30" s="942"/>
      <c r="Q30" s="892"/>
    </row>
    <row r="31" spans="1:18" s="895" customFormat="1" ht="15" customHeight="1" x14ac:dyDescent="0.2">
      <c r="A31" s="1464"/>
      <c r="B31" s="896" t="s">
        <v>62</v>
      </c>
      <c r="C31" s="896" t="s">
        <v>63</v>
      </c>
      <c r="D31" s="896" t="s">
        <v>64</v>
      </c>
      <c r="E31" s="896" t="s">
        <v>103</v>
      </c>
      <c r="F31" s="1477"/>
      <c r="G31" s="944"/>
      <c r="H31" s="942"/>
      <c r="I31" s="942"/>
      <c r="J31" s="942"/>
      <c r="K31" s="942"/>
      <c r="L31" s="942"/>
      <c r="M31" s="942"/>
      <c r="N31" s="942"/>
      <c r="O31" s="942"/>
      <c r="P31" s="942"/>
      <c r="Q31" s="892"/>
    </row>
    <row r="32" spans="1:18" s="911" customFormat="1" ht="15" customHeight="1" x14ac:dyDescent="0.2">
      <c r="A32" s="897" t="s">
        <v>356</v>
      </c>
      <c r="B32" s="898">
        <f>'[1]Rozdělení financí FF 2022'!$C$12</f>
        <v>776949.96380860952</v>
      </c>
      <c r="C32" s="898">
        <f>'[1]Rozdělení financí FF 2022'!$C$16</f>
        <v>263158.26365091355</v>
      </c>
      <c r="D32" s="898">
        <f>'[1]Rozdělení financí FF 2022'!$C$20</f>
        <v>1682928.377406046</v>
      </c>
      <c r="E32" s="898">
        <f>'[1]Rozdělení financí FF 2022'!$C$21</f>
        <v>311790.95570845995</v>
      </c>
      <c r="F32" s="945">
        <f>SUM(B32:E32)</f>
        <v>3034827.5605740291</v>
      </c>
      <c r="G32" s="944"/>
      <c r="H32" s="944"/>
      <c r="I32" s="944"/>
      <c r="J32" s="944"/>
      <c r="K32" s="944"/>
      <c r="L32" s="944"/>
      <c r="M32" s="944"/>
      <c r="N32" s="944"/>
      <c r="O32" s="944"/>
      <c r="P32" s="944"/>
      <c r="Q32" s="940"/>
    </row>
    <row r="33" spans="1:17" s="911" customFormat="1" ht="15" customHeight="1" x14ac:dyDescent="0.2">
      <c r="A33" s="897" t="s">
        <v>357</v>
      </c>
      <c r="B33" s="898">
        <f>B32</f>
        <v>776949.96380860952</v>
      </c>
      <c r="C33" s="898">
        <f>C32</f>
        <v>263158.26365091355</v>
      </c>
      <c r="D33" s="898">
        <f>D32</f>
        <v>1682928.377406046</v>
      </c>
      <c r="E33" s="898">
        <f>E32</f>
        <v>311790.95570845995</v>
      </c>
      <c r="F33" s="945">
        <f>SUM(B33:E33)</f>
        <v>3034827.5605740291</v>
      </c>
      <c r="G33" s="944"/>
      <c r="H33" s="944"/>
      <c r="I33" s="944"/>
      <c r="J33" s="944"/>
      <c r="K33" s="944"/>
      <c r="L33" s="944"/>
      <c r="M33" s="944"/>
      <c r="N33" s="944"/>
      <c r="O33" s="944"/>
      <c r="P33" s="944"/>
      <c r="Q33" s="940"/>
    </row>
    <row r="34" spans="1:17" s="911" customFormat="1" ht="15" customHeight="1" x14ac:dyDescent="0.2">
      <c r="A34" s="946" t="s">
        <v>358</v>
      </c>
      <c r="B34" s="947">
        <f>B32-B33</f>
        <v>0</v>
      </c>
      <c r="C34" s="947">
        <f>C32-C33</f>
        <v>0</v>
      </c>
      <c r="D34" s="947">
        <f>D32-D33</f>
        <v>0</v>
      </c>
      <c r="E34" s="947">
        <f>E32-E33</f>
        <v>0</v>
      </c>
      <c r="F34" s="947">
        <f>F32-F33</f>
        <v>0</v>
      </c>
      <c r="G34" s="944"/>
      <c r="H34" s="944"/>
      <c r="I34" s="944"/>
      <c r="J34" s="944"/>
      <c r="K34" s="944"/>
      <c r="L34" s="944"/>
      <c r="M34" s="944"/>
      <c r="N34" s="944"/>
      <c r="O34" s="944"/>
      <c r="P34" s="944"/>
      <c r="Q34" s="940"/>
    </row>
    <row r="35" spans="1:17" s="911" customFormat="1" ht="30" customHeight="1" x14ac:dyDescent="0.2">
      <c r="A35" s="948"/>
      <c r="B35" s="949"/>
      <c r="C35" s="949"/>
      <c r="D35" s="949"/>
      <c r="E35" s="949"/>
      <c r="F35" s="944"/>
      <c r="G35" s="944"/>
      <c r="H35" s="944"/>
      <c r="I35" s="944"/>
      <c r="J35" s="944"/>
      <c r="K35" s="944"/>
      <c r="L35" s="944"/>
      <c r="M35" s="944"/>
      <c r="N35" s="944"/>
      <c r="O35" s="944"/>
      <c r="Q35" s="940"/>
    </row>
    <row r="36" spans="1:17" s="911" customFormat="1" ht="15" customHeight="1" x14ac:dyDescent="0.2">
      <c r="A36" s="950" t="s">
        <v>67</v>
      </c>
      <c r="B36" s="951"/>
      <c r="C36" s="951"/>
      <c r="D36" s="951"/>
      <c r="E36" s="944"/>
      <c r="F36" s="944"/>
      <c r="G36" s="944"/>
      <c r="H36" s="944"/>
      <c r="I36" s="944"/>
      <c r="J36" s="944"/>
      <c r="K36" s="944"/>
      <c r="L36" s="944"/>
      <c r="M36" s="944"/>
      <c r="N36" s="944"/>
      <c r="O36" s="944"/>
      <c r="Q36" s="940"/>
    </row>
    <row r="37" spans="1:17" s="911" customFormat="1" ht="15" customHeight="1" x14ac:dyDescent="0.2">
      <c r="A37" s="1463" t="s">
        <v>34</v>
      </c>
      <c r="B37" s="1463" t="s">
        <v>55</v>
      </c>
      <c r="C37" s="1463" t="s">
        <v>56</v>
      </c>
      <c r="D37" s="1463" t="s">
        <v>17</v>
      </c>
      <c r="E37" s="1465" t="s">
        <v>364</v>
      </c>
      <c r="F37" s="1466"/>
      <c r="G37" s="944"/>
      <c r="H37" s="944"/>
      <c r="I37" s="944"/>
      <c r="J37" s="944"/>
      <c r="K37" s="944"/>
      <c r="L37" s="944"/>
      <c r="M37" s="944"/>
      <c r="N37" s="944"/>
      <c r="O37" s="944"/>
      <c r="Q37" s="940"/>
    </row>
    <row r="38" spans="1:17" s="911" customFormat="1" ht="15" customHeight="1" x14ac:dyDescent="0.2">
      <c r="A38" s="1464"/>
      <c r="B38" s="1463"/>
      <c r="C38" s="1463"/>
      <c r="D38" s="1463"/>
      <c r="E38" s="1467"/>
      <c r="F38" s="1468"/>
      <c r="G38" s="944"/>
      <c r="H38" s="944"/>
      <c r="I38" s="944"/>
      <c r="J38" s="944"/>
      <c r="K38" s="944"/>
      <c r="L38" s="944"/>
      <c r="M38" s="944"/>
      <c r="N38" s="944"/>
      <c r="O38" s="944"/>
      <c r="Q38" s="940"/>
    </row>
    <row r="39" spans="1:17" s="911" customFormat="1" ht="15" customHeight="1" x14ac:dyDescent="0.2">
      <c r="A39" s="897" t="s">
        <v>356</v>
      </c>
      <c r="B39" s="898">
        <f>P6</f>
        <v>78161190.481826007</v>
      </c>
      <c r="C39" s="898">
        <f>F32</f>
        <v>3034827.5605740291</v>
      </c>
      <c r="D39" s="898">
        <f>B39+C39</f>
        <v>81196018.042400032</v>
      </c>
      <c r="E39" s="1467"/>
      <c r="F39" s="1468"/>
      <c r="G39" s="944"/>
      <c r="H39" s="944"/>
      <c r="I39" s="944"/>
      <c r="J39" s="944"/>
      <c r="K39" s="944"/>
      <c r="L39" s="944"/>
      <c r="M39" s="944"/>
      <c r="N39" s="944"/>
      <c r="O39" s="944"/>
      <c r="Q39" s="940"/>
    </row>
    <row r="40" spans="1:17" s="911" customFormat="1" ht="15" customHeight="1" x14ac:dyDescent="0.2">
      <c r="A40" s="897" t="s">
        <v>357</v>
      </c>
      <c r="B40" s="898">
        <f>P7</f>
        <v>79350590</v>
      </c>
      <c r="C40" s="898">
        <f>F33</f>
        <v>3034827.5605740291</v>
      </c>
      <c r="D40" s="898">
        <f>B40+C40</f>
        <v>82385417.560574025</v>
      </c>
      <c r="E40" s="1467"/>
      <c r="F40" s="1468"/>
      <c r="G40" s="944"/>
      <c r="H40" s="944"/>
      <c r="I40" s="944"/>
      <c r="J40" s="944"/>
      <c r="K40" s="944"/>
      <c r="L40" s="944"/>
      <c r="M40" s="944"/>
      <c r="N40" s="944"/>
      <c r="O40" s="944"/>
      <c r="Q40" s="940"/>
    </row>
    <row r="41" spans="1:17" s="911" customFormat="1" ht="15" customHeight="1" x14ac:dyDescent="0.2">
      <c r="A41" s="952" t="s">
        <v>358</v>
      </c>
      <c r="B41" s="953">
        <f>B39-B40</f>
        <v>-1189399.5181739926</v>
      </c>
      <c r="C41" s="953">
        <f>C39-C40</f>
        <v>0</v>
      </c>
      <c r="D41" s="953">
        <f>D39-D40</f>
        <v>-1189399.5181739926</v>
      </c>
      <c r="E41" s="1469"/>
      <c r="F41" s="1470"/>
      <c r="G41" s="944"/>
      <c r="H41" s="944"/>
      <c r="I41" s="944"/>
      <c r="J41" s="944"/>
      <c r="K41" s="944"/>
      <c r="L41" s="944"/>
      <c r="M41" s="944"/>
      <c r="N41" s="944"/>
      <c r="O41" s="944"/>
      <c r="Q41" s="940"/>
    </row>
    <row r="42" spans="1:17" s="911" customFormat="1" ht="15" customHeight="1" x14ac:dyDescent="0.2">
      <c r="A42" s="954"/>
      <c r="B42" s="951"/>
      <c r="C42" s="951"/>
      <c r="D42" s="955"/>
      <c r="E42" s="1471">
        <v>1284441</v>
      </c>
      <c r="F42" s="1472"/>
      <c r="G42" s="944"/>
      <c r="H42" s="944"/>
      <c r="I42" s="944"/>
      <c r="J42" s="944"/>
      <c r="K42" s="944"/>
      <c r="L42" s="944"/>
      <c r="M42" s="944"/>
      <c r="N42" s="944"/>
      <c r="O42" s="944"/>
      <c r="Q42" s="940"/>
    </row>
    <row r="43" spans="1:17" s="911" customFormat="1" ht="15" customHeight="1" x14ac:dyDescent="0.2">
      <c r="A43" s="954"/>
      <c r="B43" s="951"/>
      <c r="C43" s="951"/>
      <c r="D43" s="956"/>
      <c r="E43" s="1461"/>
      <c r="F43" s="1462"/>
      <c r="G43" s="957"/>
      <c r="H43" s="944"/>
      <c r="I43" s="944"/>
      <c r="J43" s="944"/>
      <c r="K43" s="944"/>
      <c r="L43" s="944"/>
      <c r="M43" s="944"/>
      <c r="N43" s="944"/>
      <c r="O43" s="944"/>
      <c r="Q43" s="940"/>
    </row>
    <row r="44" spans="1:17" s="911" customFormat="1" ht="15" customHeight="1" x14ac:dyDescent="0.2">
      <c r="A44" s="958" t="s">
        <v>35</v>
      </c>
      <c r="B44" s="895" t="s">
        <v>104</v>
      </c>
      <c r="C44" s="895"/>
      <c r="D44" s="895"/>
      <c r="E44" s="951"/>
      <c r="F44" s="951"/>
      <c r="G44" s="944"/>
      <c r="H44" s="944"/>
      <c r="I44" s="944"/>
      <c r="J44" s="944"/>
      <c r="K44" s="944"/>
      <c r="L44" s="944"/>
      <c r="M44" s="944"/>
      <c r="N44" s="944"/>
      <c r="O44" s="944"/>
      <c r="Q44" s="940"/>
    </row>
    <row r="45" spans="1:17" s="895" customFormat="1" ht="14.1" customHeight="1" x14ac:dyDescent="0.2">
      <c r="B45" s="895" t="s">
        <v>128</v>
      </c>
      <c r="I45" s="959"/>
      <c r="Q45" s="892"/>
    </row>
    <row r="46" spans="1:17" s="895" customFormat="1" ht="14.1" customHeight="1" x14ac:dyDescent="0.2">
      <c r="Q46" s="892"/>
    </row>
    <row r="47" spans="1:17" s="895" customFormat="1" ht="15" customHeight="1" x14ac:dyDescent="0.2">
      <c r="Q47" s="892"/>
    </row>
    <row r="48" spans="1:17" s="895" customFormat="1" ht="15" customHeight="1" x14ac:dyDescent="0.2">
      <c r="Q48" s="892"/>
    </row>
    <row r="49" spans="1:17" s="895" customFormat="1" ht="14.1" customHeight="1" x14ac:dyDescent="0.2">
      <c r="Q49" s="892"/>
    </row>
    <row r="50" spans="1:17" s="895" customFormat="1" ht="14.1" customHeight="1" x14ac:dyDescent="0.2">
      <c r="Q50" s="892"/>
    </row>
    <row r="51" spans="1:17" s="895" customFormat="1" ht="14.1" customHeight="1" x14ac:dyDescent="0.2">
      <c r="Q51" s="892"/>
    </row>
    <row r="52" spans="1:17" s="895" customFormat="1" x14ac:dyDescent="0.2">
      <c r="A52" s="891"/>
      <c r="B52" s="891"/>
      <c r="C52" s="891"/>
      <c r="D52" s="891"/>
      <c r="Q52" s="892"/>
    </row>
  </sheetData>
  <mergeCells count="13">
    <mergeCell ref="A4:A5"/>
    <mergeCell ref="P4:P5"/>
    <mergeCell ref="A25:A26"/>
    <mergeCell ref="P25:P26"/>
    <mergeCell ref="A30:A31"/>
    <mergeCell ref="F30:F31"/>
    <mergeCell ref="E43:F43"/>
    <mergeCell ref="A37:A38"/>
    <mergeCell ref="B37:B38"/>
    <mergeCell ref="C37:C38"/>
    <mergeCell ref="D37:D38"/>
    <mergeCell ref="E37:F41"/>
    <mergeCell ref="E42:F42"/>
  </mergeCells>
  <pageMargins left="0.35433070866141736" right="0.27559055118110237" top="0.23622047244094491" bottom="0.27559055118110237" header="0.15748031496062992" footer="0.15748031496062992"/>
  <pageSetup paperSize="9" scale="74" fitToHeight="0" orientation="landscape" cellComments="asDisplayed" r:id="rId1"/>
  <headerFooter>
    <oddFooter>&amp;C&amp;8&amp;A&amp;R&amp;8&amp;F</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I45"/>
  <sheetViews>
    <sheetView zoomScaleNormal="100" workbookViewId="0"/>
  </sheetViews>
  <sheetFormatPr defaultRowHeight="12.75" x14ac:dyDescent="0.2"/>
  <cols>
    <col min="1" max="1" width="60.5703125" customWidth="1"/>
    <col min="2" max="2" width="14.5703125" customWidth="1"/>
    <col min="3" max="3" width="12.140625" customWidth="1"/>
    <col min="4" max="4" width="3.7109375" customWidth="1"/>
    <col min="5" max="5" width="35.85546875" customWidth="1"/>
    <col min="6" max="6" width="11.5703125" customWidth="1"/>
    <col min="7" max="7" width="5.7109375" customWidth="1"/>
    <col min="8" max="8" width="7.7109375" customWidth="1"/>
    <col min="9" max="9" width="3.7109375" customWidth="1"/>
  </cols>
  <sheetData>
    <row r="1" spans="1:9" ht="15" x14ac:dyDescent="0.25">
      <c r="A1" s="84" t="s">
        <v>408</v>
      </c>
      <c r="B1" s="84"/>
      <c r="C1" s="84"/>
      <c r="D1" s="84"/>
      <c r="E1" s="84"/>
      <c r="F1" s="84"/>
      <c r="G1" s="84"/>
      <c r="H1" s="84"/>
      <c r="I1" s="84"/>
    </row>
    <row r="2" spans="1:9" ht="15.75" x14ac:dyDescent="0.25">
      <c r="A2" s="83"/>
      <c r="B2" s="83"/>
      <c r="C2" s="83"/>
      <c r="D2" s="83"/>
      <c r="E2" s="83"/>
      <c r="F2" s="83"/>
      <c r="G2" s="83"/>
      <c r="H2" s="83"/>
      <c r="I2" s="83"/>
    </row>
    <row r="3" spans="1:9" s="115" customFormat="1" ht="11.25" x14ac:dyDescent="0.2">
      <c r="A3" s="1405" t="s">
        <v>409</v>
      </c>
      <c r="B3" s="1405"/>
      <c r="C3" s="1405"/>
      <c r="D3" s="1405"/>
      <c r="E3" s="1405"/>
      <c r="F3" s="1405"/>
      <c r="G3" s="1405"/>
      <c r="H3" s="1405"/>
      <c r="I3" s="251"/>
    </row>
    <row r="4" spans="1:9" s="115" customFormat="1" ht="11.25" x14ac:dyDescent="0.2">
      <c r="A4" s="252"/>
      <c r="B4" s="253"/>
      <c r="C4" s="253"/>
      <c r="D4" s="254"/>
      <c r="E4" s="254"/>
      <c r="F4" s="254"/>
      <c r="G4" s="254"/>
      <c r="H4" s="254"/>
    </row>
    <row r="5" spans="1:9" s="115" customFormat="1" ht="33.75" customHeight="1" x14ac:dyDescent="0.2">
      <c r="A5" s="1405" t="s">
        <v>410</v>
      </c>
      <c r="B5" s="1405"/>
      <c r="C5" s="1405"/>
      <c r="D5" s="1405"/>
      <c r="E5" s="1405"/>
      <c r="F5" s="1405"/>
      <c r="G5" s="1405"/>
      <c r="H5" s="1405"/>
      <c r="I5" s="251"/>
    </row>
    <row r="6" spans="1:9" s="115" customFormat="1" ht="11.25" x14ac:dyDescent="0.2">
      <c r="A6" s="252"/>
      <c r="B6" s="253"/>
      <c r="C6" s="253"/>
      <c r="D6" s="254"/>
      <c r="E6" s="254"/>
      <c r="F6" s="254"/>
      <c r="G6" s="254"/>
      <c r="H6" s="254"/>
    </row>
    <row r="7" spans="1:9" s="115" customFormat="1" ht="25.5" customHeight="1" x14ac:dyDescent="0.2">
      <c r="A7" s="1408" t="s">
        <v>411</v>
      </c>
      <c r="B7" s="1408"/>
      <c r="C7" s="1408"/>
      <c r="D7" s="1408"/>
      <c r="E7" s="1408"/>
      <c r="F7" s="1408"/>
      <c r="G7" s="1408"/>
      <c r="H7" s="1408"/>
      <c r="I7" s="255"/>
    </row>
    <row r="8" spans="1:9" s="115" customFormat="1" ht="11.25" x14ac:dyDescent="0.2">
      <c r="A8" s="252"/>
      <c r="B8" s="253"/>
      <c r="C8" s="253"/>
      <c r="D8" s="254"/>
      <c r="E8" s="254"/>
      <c r="F8" s="254"/>
      <c r="G8" s="254"/>
      <c r="H8" s="254"/>
    </row>
    <row r="9" spans="1:9" s="115" customFormat="1" ht="22.5" customHeight="1" x14ac:dyDescent="0.2">
      <c r="A9" s="1408" t="s">
        <v>412</v>
      </c>
      <c r="B9" s="1408"/>
      <c r="C9" s="1408"/>
      <c r="D9" s="1408"/>
      <c r="E9" s="1408"/>
      <c r="F9" s="1408"/>
      <c r="G9" s="1408"/>
      <c r="H9" s="1408"/>
    </row>
    <row r="10" spans="1:9" s="254" customFormat="1" ht="11.25" customHeight="1" x14ac:dyDescent="0.2">
      <c r="A10" s="256"/>
      <c r="B10" s="256"/>
      <c r="C10" s="256"/>
      <c r="I10" s="255"/>
    </row>
    <row r="11" spans="1:9" s="254" customFormat="1" ht="11.25" x14ac:dyDescent="0.2">
      <c r="A11" s="1408" t="s">
        <v>413</v>
      </c>
      <c r="B11" s="1408"/>
      <c r="C11" s="1408"/>
      <c r="D11" s="1408"/>
      <c r="E11" s="1408"/>
      <c r="F11" s="1408"/>
      <c r="G11" s="1408"/>
      <c r="H11" s="1408"/>
    </row>
    <row r="12" spans="1:9" s="257" customFormat="1" ht="11.25" x14ac:dyDescent="0.2">
      <c r="A12" s="61"/>
      <c r="B12" s="61"/>
      <c r="C12" s="61"/>
      <c r="D12" s="61"/>
      <c r="E12" s="61"/>
      <c r="F12" s="61"/>
      <c r="G12" s="61"/>
      <c r="H12" s="61"/>
      <c r="I12" s="255"/>
    </row>
    <row r="13" spans="1:9" s="61" customFormat="1" ht="12.95" customHeight="1" x14ac:dyDescent="0.2">
      <c r="A13" s="1406" t="s">
        <v>402</v>
      </c>
      <c r="B13" s="85">
        <v>2023</v>
      </c>
      <c r="C13" s="86"/>
      <c r="D13" s="63"/>
      <c r="E13" s="331" t="s">
        <v>154</v>
      </c>
      <c r="F13" s="332">
        <f>'Rozpis P2 a děkanátu 2023'!B21</f>
        <v>7662083.3051999863</v>
      </c>
      <c r="G13" s="64"/>
      <c r="H13" s="62"/>
    </row>
    <row r="14" spans="1:9" s="62" customFormat="1" ht="12" customHeight="1" thickBot="1" x14ac:dyDescent="0.25">
      <c r="A14" s="1407"/>
      <c r="B14" s="65" t="s">
        <v>106</v>
      </c>
      <c r="C14" s="65" t="s">
        <v>107</v>
      </c>
      <c r="D14" s="66"/>
      <c r="E14" s="64"/>
      <c r="F14" s="67"/>
      <c r="G14" s="64"/>
    </row>
    <row r="15" spans="1:9" s="62" customFormat="1" ht="12" customHeight="1" thickTop="1" x14ac:dyDescent="0.2">
      <c r="A15" s="87" t="s">
        <v>81</v>
      </c>
      <c r="B15" s="179">
        <v>83470000</v>
      </c>
      <c r="C15" s="180"/>
      <c r="D15" s="69"/>
      <c r="E15" s="482"/>
      <c r="F15" s="72"/>
      <c r="G15" s="73"/>
      <c r="H15" s="49"/>
    </row>
    <row r="16" spans="1:9" s="49" customFormat="1" ht="13.5" customHeight="1" x14ac:dyDescent="0.2">
      <c r="A16" s="88" t="s">
        <v>82</v>
      </c>
      <c r="B16" s="181">
        <v>28160000</v>
      </c>
      <c r="C16" s="182"/>
      <c r="D16" s="69"/>
      <c r="E16" s="482"/>
      <c r="F16" s="72"/>
      <c r="G16" s="73"/>
    </row>
    <row r="17" spans="1:8" s="49" customFormat="1" ht="13.5" customHeight="1" x14ac:dyDescent="0.25">
      <c r="A17" s="88" t="s">
        <v>208</v>
      </c>
      <c r="B17" s="183">
        <v>1586000</v>
      </c>
      <c r="C17" s="184"/>
      <c r="D17" s="60"/>
      <c r="E17" s="482"/>
      <c r="F17" s="492"/>
      <c r="G17" s="73"/>
    </row>
    <row r="18" spans="1:8" s="982" customFormat="1" ht="13.5" customHeight="1" x14ac:dyDescent="0.25">
      <c r="A18" s="89" t="s">
        <v>320</v>
      </c>
      <c r="B18" s="183">
        <v>33442000</v>
      </c>
      <c r="C18" s="184"/>
      <c r="D18" s="983"/>
      <c r="E18" s="482"/>
      <c r="F18" s="492"/>
      <c r="G18" s="73"/>
    </row>
    <row r="19" spans="1:8" s="49" customFormat="1" ht="13.5" customHeight="1" thickBot="1" x14ac:dyDescent="0.25">
      <c r="A19" s="89" t="s">
        <v>386</v>
      </c>
      <c r="B19" s="183">
        <v>2250000</v>
      </c>
      <c r="C19" s="184"/>
      <c r="D19" s="60"/>
      <c r="E19" s="71"/>
      <c r="F19" s="74"/>
      <c r="G19" s="70"/>
    </row>
    <row r="20" spans="1:8" s="49" customFormat="1" ht="13.5" customHeight="1" thickBot="1" x14ac:dyDescent="0.25">
      <c r="A20" s="90" t="s">
        <v>353</v>
      </c>
      <c r="B20" s="185">
        <f>SUM(B15:B19)</f>
        <v>148908000</v>
      </c>
      <c r="C20" s="185"/>
      <c r="D20" s="50"/>
      <c r="E20" s="75"/>
      <c r="F20" s="75"/>
      <c r="G20" s="75"/>
    </row>
    <row r="21" spans="1:8" s="49" customFormat="1" ht="13.5" customHeight="1" x14ac:dyDescent="0.2">
      <c r="A21" s="87" t="s">
        <v>83</v>
      </c>
      <c r="B21" s="180">
        <v>-2000</v>
      </c>
      <c r="C21" s="180"/>
      <c r="D21" s="76"/>
    </row>
    <row r="22" spans="1:8" s="49" customFormat="1" ht="13.5" customHeight="1" x14ac:dyDescent="0.2">
      <c r="A22" s="88" t="s">
        <v>85</v>
      </c>
      <c r="B22" s="182">
        <v>-1586000</v>
      </c>
      <c r="C22" s="182"/>
      <c r="D22" s="50"/>
    </row>
    <row r="23" spans="1:8" s="49" customFormat="1" ht="13.5" customHeight="1" thickBot="1" x14ac:dyDescent="0.25">
      <c r="A23" s="88" t="s">
        <v>84</v>
      </c>
      <c r="B23" s="182">
        <v>-24669000</v>
      </c>
      <c r="C23" s="182"/>
      <c r="D23" s="50"/>
      <c r="E23" s="50"/>
      <c r="F23" s="50"/>
      <c r="G23" s="50"/>
    </row>
    <row r="24" spans="1:8" s="77" customFormat="1" ht="13.5" customHeight="1" thickBot="1" x14ac:dyDescent="0.25">
      <c r="A24" s="90" t="s">
        <v>403</v>
      </c>
      <c r="B24" s="330">
        <f>SUM(B20:B23)</f>
        <v>122651000</v>
      </c>
      <c r="C24" s="186"/>
      <c r="D24" s="50"/>
      <c r="E24" s="50"/>
      <c r="F24" s="50"/>
      <c r="G24" s="50"/>
      <c r="H24" s="49"/>
    </row>
    <row r="25" spans="1:8" s="49" customFormat="1" ht="13.5" customHeight="1" x14ac:dyDescent="0.2">
      <c r="A25" s="87" t="s">
        <v>404</v>
      </c>
      <c r="B25" s="180">
        <v>-5180000</v>
      </c>
      <c r="C25" s="187"/>
      <c r="D25" s="76"/>
      <c r="E25" s="76"/>
      <c r="F25" s="50"/>
      <c r="G25" s="50"/>
    </row>
    <row r="26" spans="1:8" s="49" customFormat="1" ht="13.5" customHeight="1" x14ac:dyDescent="0.2">
      <c r="A26" s="88" t="s">
        <v>405</v>
      </c>
      <c r="B26" s="182">
        <f>-1028000+800000</f>
        <v>-228000</v>
      </c>
      <c r="C26" s="182"/>
      <c r="D26" s="76"/>
      <c r="E26" s="1383" t="s">
        <v>387</v>
      </c>
      <c r="F26" s="50"/>
      <c r="G26" s="50"/>
    </row>
    <row r="27" spans="1:8" s="49" customFormat="1" ht="13.5" customHeight="1" thickBot="1" x14ac:dyDescent="0.25">
      <c r="A27" s="88" t="s">
        <v>400</v>
      </c>
      <c r="B27" s="182">
        <f>-1348000+800000</f>
        <v>-548000</v>
      </c>
      <c r="C27" s="182"/>
      <c r="D27" s="50"/>
      <c r="E27" s="1383" t="s">
        <v>388</v>
      </c>
      <c r="F27" s="78"/>
    </row>
    <row r="28" spans="1:8" s="49" customFormat="1" ht="13.5" customHeight="1" thickBot="1" x14ac:dyDescent="0.25">
      <c r="A28" s="90" t="s">
        <v>406</v>
      </c>
      <c r="B28" s="185">
        <f>SUM(B24:B27)</f>
        <v>116695000</v>
      </c>
      <c r="C28" s="186"/>
      <c r="D28" s="50"/>
      <c r="E28" s="79"/>
      <c r="F28" s="78"/>
      <c r="G28" s="78"/>
    </row>
    <row r="29" spans="1:8" s="49" customFormat="1" ht="13.5" customHeight="1" thickBot="1" x14ac:dyDescent="0.25">
      <c r="A29" s="91" t="s">
        <v>46</v>
      </c>
      <c r="B29" s="188">
        <v>0</v>
      </c>
      <c r="C29" s="188">
        <v>0</v>
      </c>
      <c r="D29" s="50"/>
      <c r="E29" s="78"/>
      <c r="F29" s="78"/>
      <c r="G29" s="78"/>
    </row>
    <row r="30" spans="1:8" s="49" customFormat="1" ht="13.5" customHeight="1" x14ac:dyDescent="0.2">
      <c r="A30" s="92" t="s">
        <v>407</v>
      </c>
      <c r="B30" s="189">
        <f>B28+C29</f>
        <v>116695000</v>
      </c>
      <c r="C30" s="190"/>
      <c r="D30" s="60"/>
      <c r="E30" s="82"/>
      <c r="F30" s="82"/>
      <c r="G30" s="82"/>
      <c r="H30" s="48"/>
    </row>
    <row r="31" spans="1:8" s="48" customFormat="1" ht="12" customHeight="1" x14ac:dyDescent="0.2">
      <c r="A31" s="80"/>
      <c r="B31" s="81"/>
      <c r="C31" s="81"/>
      <c r="F31" s="49"/>
      <c r="G31" s="49"/>
      <c r="H31" s="49"/>
    </row>
    <row r="32" spans="1:8" s="49" customFormat="1" ht="12" customHeight="1" x14ac:dyDescent="0.2">
      <c r="A32" s="60" t="s">
        <v>414</v>
      </c>
      <c r="B32" s="69"/>
      <c r="C32" s="69"/>
      <c r="D32" s="48"/>
      <c r="E32" s="48"/>
    </row>
    <row r="33" spans="1:8" s="49" customFormat="1" ht="12" customHeight="1" x14ac:dyDescent="0.2">
      <c r="A33" s="60"/>
      <c r="B33" s="69"/>
      <c r="C33" s="69"/>
      <c r="D33" s="48"/>
      <c r="E33" s="48"/>
    </row>
    <row r="34" spans="1:8" s="49" customFormat="1" ht="12" customHeight="1" x14ac:dyDescent="0.2">
      <c r="A34" s="60" t="s">
        <v>86</v>
      </c>
      <c r="B34" s="69"/>
      <c r="C34" s="69"/>
      <c r="D34" s="48"/>
      <c r="E34" s="48"/>
    </row>
    <row r="35" spans="1:8" s="49" customFormat="1" ht="12" customHeight="1" x14ac:dyDescent="0.2">
      <c r="A35" s="60"/>
      <c r="B35" s="69"/>
      <c r="C35" s="69"/>
      <c r="D35" s="48"/>
      <c r="E35" s="48"/>
    </row>
    <row r="36" spans="1:8" s="49" customFormat="1" ht="12" customHeight="1" x14ac:dyDescent="0.2">
      <c r="A36" s="48" t="s">
        <v>129</v>
      </c>
      <c r="B36" s="48"/>
      <c r="C36" s="48"/>
      <c r="D36" s="48"/>
      <c r="E36" s="48"/>
    </row>
    <row r="37" spans="1:8" s="49" customFormat="1" ht="12" customHeight="1" x14ac:dyDescent="0.2">
      <c r="A37" s="48"/>
      <c r="B37" s="48"/>
      <c r="C37" s="48"/>
      <c r="D37" s="48"/>
      <c r="E37" s="48"/>
    </row>
    <row r="38" spans="1:8" s="49" customFormat="1" ht="12" customHeight="1" x14ac:dyDescent="0.2">
      <c r="A38" s="48" t="s">
        <v>415</v>
      </c>
      <c r="B38" s="48"/>
      <c r="C38" s="48"/>
      <c r="D38" s="48"/>
      <c r="E38" s="48"/>
    </row>
    <row r="39" spans="1:8" s="49" customFormat="1" ht="12" customHeight="1" x14ac:dyDescent="0.2">
      <c r="A39" s="48" t="s">
        <v>344</v>
      </c>
      <c r="B39" s="48"/>
      <c r="C39" s="48"/>
      <c r="D39" s="61"/>
      <c r="E39" s="61"/>
      <c r="F39" s="62"/>
      <c r="G39" s="62"/>
      <c r="H39" s="62"/>
    </row>
    <row r="40" spans="1:8" s="62" customFormat="1" ht="12.95" customHeight="1" x14ac:dyDescent="0.2">
      <c r="A40" s="61"/>
      <c r="B40" s="61"/>
      <c r="C40" s="61"/>
      <c r="D40" s="61"/>
      <c r="E40" s="61"/>
    </row>
    <row r="41" spans="1:8" s="62" customFormat="1" ht="11.25" x14ac:dyDescent="0.2">
      <c r="A41" s="61"/>
      <c r="B41" s="61"/>
      <c r="C41" s="61"/>
      <c r="D41" s="61"/>
      <c r="E41" s="61"/>
    </row>
    <row r="42" spans="1:8" s="62" customFormat="1" ht="11.25" x14ac:dyDescent="0.2">
      <c r="A42" s="61"/>
      <c r="B42" s="61"/>
      <c r="C42" s="61"/>
      <c r="D42" s="61"/>
      <c r="E42" s="61"/>
    </row>
    <row r="43" spans="1:8" s="62" customFormat="1" ht="12" x14ac:dyDescent="0.2">
      <c r="A43" s="61"/>
      <c r="B43" s="61"/>
      <c r="C43" s="61"/>
      <c r="D43" s="51"/>
      <c r="E43" s="51"/>
      <c r="F43" s="52"/>
      <c r="G43" s="52"/>
      <c r="H43" s="52"/>
    </row>
    <row r="44" spans="1:8" s="52" customFormat="1" x14ac:dyDescent="0.2">
      <c r="A44" s="51"/>
      <c r="B44" s="51"/>
      <c r="C44" s="51"/>
      <c r="D44"/>
      <c r="E44"/>
      <c r="F44"/>
      <c r="G44"/>
      <c r="H44"/>
    </row>
    <row r="45" spans="1:8" x14ac:dyDescent="0.2">
      <c r="A45" s="48"/>
      <c r="B45" s="48"/>
      <c r="C45" s="48"/>
    </row>
  </sheetData>
  <mergeCells count="6">
    <mergeCell ref="A3:H3"/>
    <mergeCell ref="A13:A14"/>
    <mergeCell ref="A11:H11"/>
    <mergeCell ref="A9:H9"/>
    <mergeCell ref="A7:H7"/>
    <mergeCell ref="A5:H5"/>
  </mergeCells>
  <pageMargins left="0.7" right="0.7" top="0.75" bottom="0.75" header="0.3" footer="0.3"/>
  <pageSetup paperSize="9" scale="88" orientation="landscape" r:id="rId1"/>
  <headerFooter alignWithMargins="0">
    <oddFooter>&amp;C&amp;8&amp;A&amp;R&amp;8&amp;F</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B017D-623E-4F37-89DB-C3C4E8230AC3}">
  <sheetPr>
    <tabColor rgb="FF00B050"/>
    <pageSetUpPr fitToPage="1"/>
  </sheetPr>
  <dimension ref="A1:X83"/>
  <sheetViews>
    <sheetView topLeftCell="A19" zoomScaleNormal="100" zoomScalePageLayoutView="130" workbookViewId="0">
      <selection activeCell="B24" sqref="B24:G24"/>
    </sheetView>
  </sheetViews>
  <sheetFormatPr defaultColWidth="8.42578125" defaultRowHeight="12.75" x14ac:dyDescent="0.2"/>
  <cols>
    <col min="1" max="1" width="49.42578125" style="1192" bestFit="1" customWidth="1"/>
    <col min="2" max="2" width="16.42578125" style="1191" bestFit="1" customWidth="1"/>
    <col min="3" max="3" width="14.42578125" style="1191" bestFit="1" customWidth="1"/>
    <col min="4" max="7" width="11.42578125" style="1191" customWidth="1"/>
    <col min="8" max="10" width="11.42578125" style="1192" customWidth="1"/>
    <col min="11" max="11" width="15.42578125" style="1192" customWidth="1"/>
    <col min="12" max="12" width="11.42578125" style="1192" customWidth="1"/>
    <col min="13" max="13" width="13.42578125" style="1192" customWidth="1"/>
    <col min="14" max="14" width="13.140625" style="1192" customWidth="1"/>
    <col min="15" max="15" width="10.7109375" style="1192" bestFit="1" customWidth="1"/>
    <col min="16" max="16" width="8.42578125" style="1192"/>
    <col min="17" max="17" width="15.140625" style="1192" bestFit="1" customWidth="1"/>
    <col min="18" max="18" width="16.28515625" style="1192" bestFit="1" customWidth="1"/>
    <col min="19" max="19" width="8.42578125" style="1192"/>
    <col min="20" max="20" width="18.85546875" style="1192" bestFit="1" customWidth="1"/>
    <col min="21" max="21" width="18.7109375" style="1192" bestFit="1" customWidth="1"/>
    <col min="22" max="16384" width="8.42578125" style="1192"/>
  </cols>
  <sheetData>
    <row r="1" spans="1:24" ht="25.5" customHeight="1" x14ac:dyDescent="0.4">
      <c r="A1" s="1188" t="s">
        <v>212</v>
      </c>
      <c r="B1" s="1189">
        <v>2023</v>
      </c>
      <c r="C1" s="1190" t="s">
        <v>213</v>
      </c>
      <c r="H1" s="1191"/>
      <c r="I1" s="1191"/>
      <c r="J1" s="1191"/>
    </row>
    <row r="2" spans="1:24" ht="13.5" customHeight="1" x14ac:dyDescent="0.4">
      <c r="A2" s="1188"/>
      <c r="B2" s="1193"/>
      <c r="D2" s="1190"/>
      <c r="H2" s="1191"/>
      <c r="I2" s="1191"/>
      <c r="J2" s="1191"/>
    </row>
    <row r="3" spans="1:24" ht="13.5" customHeight="1" thickBot="1" x14ac:dyDescent="0.25">
      <c r="A3" s="1194" t="s">
        <v>214</v>
      </c>
    </row>
    <row r="4" spans="1:24" ht="13.5" customHeight="1" thickBot="1" x14ac:dyDescent="0.25">
      <c r="A4" s="1195" t="s">
        <v>215</v>
      </c>
      <c r="B4" s="1196" t="s">
        <v>216</v>
      </c>
      <c r="C4" s="1197"/>
      <c r="D4" s="1198" t="s">
        <v>217</v>
      </c>
      <c r="E4" s="1199" t="s">
        <v>216</v>
      </c>
      <c r="F4" s="1199" t="s">
        <v>218</v>
      </c>
      <c r="G4" s="1200"/>
      <c r="I4" s="1201" t="s">
        <v>219</v>
      </c>
      <c r="J4" s="1202"/>
      <c r="K4" s="1203"/>
      <c r="L4" s="1204" t="s">
        <v>220</v>
      </c>
      <c r="M4" s="1205" t="s">
        <v>216</v>
      </c>
      <c r="N4" s="1206"/>
    </row>
    <row r="5" spans="1:24" ht="13.5" customHeight="1" x14ac:dyDescent="0.3">
      <c r="A5" s="1207" t="s">
        <v>221</v>
      </c>
      <c r="B5" s="1208">
        <v>614974.71600000001</v>
      </c>
      <c r="C5" s="1209"/>
      <c r="D5" s="1210" t="s">
        <v>222</v>
      </c>
      <c r="E5" s="1211">
        <f>F5*(B5+B6)</f>
        <v>496121.44000000006</v>
      </c>
      <c r="F5" s="1212">
        <v>0.8</v>
      </c>
      <c r="G5" s="1200"/>
      <c r="H5" s="1213"/>
      <c r="I5" s="1214" t="s">
        <v>223</v>
      </c>
      <c r="J5" s="1215"/>
      <c r="K5" s="1216"/>
      <c r="L5" s="1217">
        <f>[4]PVk!AC5*100</f>
        <v>30</v>
      </c>
      <c r="M5" s="1218">
        <f>ROUND(E$6*L5/100,0)</f>
        <v>37209</v>
      </c>
      <c r="N5" s="1206"/>
    </row>
    <row r="6" spans="1:24" ht="13.5" customHeight="1" thickBot="1" x14ac:dyDescent="0.35">
      <c r="A6" s="1219" t="s">
        <v>365</v>
      </c>
      <c r="B6" s="1220">
        <v>5177.0839999999998</v>
      </c>
      <c r="C6" s="1209"/>
      <c r="D6" s="1221" t="s">
        <v>225</v>
      </c>
      <c r="E6" s="1222">
        <f>F6*(B5+B6)</f>
        <v>124030.36000000002</v>
      </c>
      <c r="F6" s="1223">
        <v>0.2</v>
      </c>
      <c r="G6" s="1200"/>
      <c r="H6" s="1213"/>
      <c r="I6" s="1224" t="s">
        <v>226</v>
      </c>
      <c r="J6" s="1225"/>
      <c r="K6" s="1226"/>
      <c r="L6" s="1227">
        <f>[4]PVk!AC6*100</f>
        <v>8</v>
      </c>
      <c r="M6" s="1228">
        <f t="shared" ref="M6:M12" si="0">ROUND(E$6*L6/100,0)</f>
        <v>9922</v>
      </c>
      <c r="N6" s="1206"/>
    </row>
    <row r="7" spans="1:24" ht="13.5" customHeight="1" thickBot="1" x14ac:dyDescent="0.25">
      <c r="A7" s="1229" t="s">
        <v>227</v>
      </c>
      <c r="B7" s="1230">
        <v>31812.29</v>
      </c>
      <c r="C7" s="1209"/>
      <c r="D7" s="1231" t="s">
        <v>228</v>
      </c>
      <c r="E7" s="1232">
        <f>SUM(E5:E6)</f>
        <v>620151.80000000005</v>
      </c>
      <c r="F7" s="1233">
        <f>SUM(F5:F6)</f>
        <v>1</v>
      </c>
      <c r="G7" s="1200"/>
      <c r="H7" s="1234"/>
      <c r="I7" s="1224" t="s">
        <v>229</v>
      </c>
      <c r="J7" s="1225"/>
      <c r="K7" s="1226"/>
      <c r="L7" s="1227">
        <f>[4]PVk!AC7*100</f>
        <v>5</v>
      </c>
      <c r="M7" s="1228">
        <f t="shared" si="0"/>
        <v>6202</v>
      </c>
      <c r="N7" s="1206"/>
      <c r="R7" s="1235"/>
      <c r="T7" s="1234"/>
      <c r="V7" s="1234"/>
      <c r="X7" s="1234"/>
    </row>
    <row r="8" spans="1:24" ht="13.5" customHeight="1" x14ac:dyDescent="0.2">
      <c r="A8" s="1229" t="s">
        <v>230</v>
      </c>
      <c r="B8" s="1236">
        <v>9409.5810000000001</v>
      </c>
      <c r="C8" s="1209"/>
      <c r="E8" s="1237"/>
      <c r="F8" s="1192"/>
      <c r="G8" s="1192"/>
      <c r="I8" s="1224" t="s">
        <v>314</v>
      </c>
      <c r="J8" s="1225"/>
      <c r="K8" s="1226"/>
      <c r="L8" s="1227">
        <f>[4]PVk!AC4*100</f>
        <v>10</v>
      </c>
      <c r="M8" s="1228">
        <f t="shared" si="0"/>
        <v>12403</v>
      </c>
      <c r="N8" s="1206"/>
    </row>
    <row r="9" spans="1:24" ht="13.5" customHeight="1" x14ac:dyDescent="0.2">
      <c r="A9" s="1229" t="s">
        <v>232</v>
      </c>
      <c r="B9" s="1230">
        <v>6345.0020000000004</v>
      </c>
      <c r="C9" s="1209"/>
      <c r="I9" s="1224" t="s">
        <v>233</v>
      </c>
      <c r="J9" s="1225"/>
      <c r="K9" s="1226"/>
      <c r="L9" s="1227">
        <f>[4]PVk!AC10*100</f>
        <v>0</v>
      </c>
      <c r="M9" s="1228">
        <f t="shared" si="0"/>
        <v>0</v>
      </c>
      <c r="N9" s="1206"/>
    </row>
    <row r="10" spans="1:24" ht="13.5" customHeight="1" x14ac:dyDescent="0.2">
      <c r="A10" s="1238" t="s">
        <v>315</v>
      </c>
      <c r="B10" s="1230">
        <v>4442.5230000000001</v>
      </c>
      <c r="C10" s="1209"/>
      <c r="D10" s="1194"/>
      <c r="E10" s="1194"/>
      <c r="F10" s="1194"/>
      <c r="G10" s="1194"/>
      <c r="H10" s="1239"/>
      <c r="I10" s="1224" t="s">
        <v>235</v>
      </c>
      <c r="J10" s="1240"/>
      <c r="K10" s="1226"/>
      <c r="L10" s="1227">
        <f>[4]PVk!AC12*100</f>
        <v>10</v>
      </c>
      <c r="M10" s="1228">
        <f t="shared" si="0"/>
        <v>12403</v>
      </c>
      <c r="N10" s="1206"/>
    </row>
    <row r="11" spans="1:24" ht="13.5" customHeight="1" x14ac:dyDescent="0.2">
      <c r="A11" s="1219" t="s">
        <v>234</v>
      </c>
      <c r="B11" s="1220">
        <v>5497.4160000000002</v>
      </c>
      <c r="C11" s="1209"/>
      <c r="D11" s="1194"/>
      <c r="E11" s="1194"/>
      <c r="F11" s="1194"/>
      <c r="G11" s="1194"/>
      <c r="H11" s="1239"/>
      <c r="I11" s="1224" t="s">
        <v>237</v>
      </c>
      <c r="J11" s="1225"/>
      <c r="K11" s="1226"/>
      <c r="L11" s="1227">
        <f>[4]PVk!AC13*100</f>
        <v>37</v>
      </c>
      <c r="M11" s="1228">
        <f t="shared" si="0"/>
        <v>45891</v>
      </c>
      <c r="N11" s="1206"/>
    </row>
    <row r="12" spans="1:24" ht="13.5" customHeight="1" thickBot="1" x14ac:dyDescent="0.25">
      <c r="A12" s="1219" t="s">
        <v>236</v>
      </c>
      <c r="B12" s="1230">
        <v>141166.40299999999</v>
      </c>
      <c r="C12" s="1241"/>
      <c r="D12" s="1241"/>
      <c r="E12" s="1241"/>
      <c r="F12" s="1194"/>
      <c r="G12" s="1194"/>
      <c r="H12" s="1239"/>
      <c r="I12" s="1242" t="s">
        <v>238</v>
      </c>
      <c r="J12" s="1243"/>
      <c r="K12" s="1244"/>
      <c r="L12" s="1245">
        <f>[4]PVk!AC9*100</f>
        <v>0</v>
      </c>
      <c r="M12" s="1246">
        <f t="shared" si="0"/>
        <v>0</v>
      </c>
      <c r="N12" s="1206"/>
    </row>
    <row r="13" spans="1:24" ht="13.5" customHeight="1" thickBot="1" x14ac:dyDescent="0.25">
      <c r="A13" s="1247" t="s">
        <v>366</v>
      </c>
      <c r="B13" s="1248">
        <v>22002.821</v>
      </c>
      <c r="C13" s="1209"/>
      <c r="D13" s="1194"/>
      <c r="E13" s="1194"/>
      <c r="F13" s="1194"/>
      <c r="G13" s="1194"/>
      <c r="I13" s="1201" t="s">
        <v>17</v>
      </c>
      <c r="J13" s="1202"/>
      <c r="K13" s="1202"/>
      <c r="L13" s="1204">
        <f>SUM(L5:L12)</f>
        <v>100</v>
      </c>
      <c r="M13" s="1249">
        <f>SUM(M5:M12)</f>
        <v>124030</v>
      </c>
      <c r="N13" s="1206"/>
    </row>
    <row r="14" spans="1:24" s="1194" customFormat="1" ht="13.5" customHeight="1" thickBot="1" x14ac:dyDescent="0.25">
      <c r="A14" s="1250" t="s">
        <v>17</v>
      </c>
      <c r="B14" s="1251">
        <f>SUM(B5:B13)</f>
        <v>840827.83600000013</v>
      </c>
      <c r="C14" s="1209"/>
      <c r="I14" s="1206"/>
      <c r="J14" s="1206"/>
      <c r="K14" s="1206"/>
      <c r="L14" s="1206"/>
      <c r="M14" s="1206"/>
      <c r="N14" s="1206"/>
    </row>
    <row r="15" spans="1:24" x14ac:dyDescent="0.2">
      <c r="A15" s="1190"/>
    </row>
    <row r="16" spans="1:24" ht="12.75" customHeight="1" thickBot="1" x14ac:dyDescent="0.25">
      <c r="A16" s="1252" t="s">
        <v>239</v>
      </c>
      <c r="C16" s="1253"/>
    </row>
    <row r="17" spans="1:17" ht="13.5" customHeight="1" x14ac:dyDescent="0.2">
      <c r="A17" s="1254"/>
      <c r="B17" s="1255" t="s">
        <v>240</v>
      </c>
      <c r="C17" s="1256" t="s">
        <v>240</v>
      </c>
      <c r="D17" s="1256" t="s">
        <v>241</v>
      </c>
      <c r="E17" s="1256" t="s">
        <v>242</v>
      </c>
      <c r="F17" s="1256" t="s">
        <v>243</v>
      </c>
      <c r="G17" s="1256" t="s">
        <v>367</v>
      </c>
      <c r="H17" s="1257" t="s">
        <v>244</v>
      </c>
      <c r="I17" s="1257" t="s">
        <v>245</v>
      </c>
      <c r="J17" s="1257" t="s">
        <v>246</v>
      </c>
      <c r="K17" s="1258" t="s">
        <v>17</v>
      </c>
      <c r="L17" s="1259" t="s">
        <v>239</v>
      </c>
      <c r="M17" s="1260" t="s">
        <v>80</v>
      </c>
      <c r="N17" s="1260" t="s">
        <v>80</v>
      </c>
    </row>
    <row r="18" spans="1:17" ht="15.75" x14ac:dyDescent="0.25">
      <c r="A18" s="1261" t="s">
        <v>368</v>
      </c>
      <c r="B18" s="1262" t="s">
        <v>248</v>
      </c>
      <c r="C18" s="1263" t="s">
        <v>248</v>
      </c>
      <c r="D18" s="1263" t="s">
        <v>249</v>
      </c>
      <c r="E18" s="1263" t="s">
        <v>250</v>
      </c>
      <c r="F18" s="1263" t="s">
        <v>251</v>
      </c>
      <c r="G18" s="1263" t="s">
        <v>369</v>
      </c>
      <c r="H18" s="1264" t="s">
        <v>252</v>
      </c>
      <c r="I18" s="1264" t="s">
        <v>253</v>
      </c>
      <c r="J18" s="1264" t="s">
        <v>254</v>
      </c>
      <c r="K18" s="1265" t="s">
        <v>239</v>
      </c>
      <c r="L18" s="1266" t="s">
        <v>255</v>
      </c>
      <c r="M18" s="1267" t="s">
        <v>256</v>
      </c>
      <c r="N18" s="1267" t="s">
        <v>256</v>
      </c>
    </row>
    <row r="19" spans="1:17" ht="15.75" x14ac:dyDescent="0.25">
      <c r="A19" s="1261" t="s">
        <v>257</v>
      </c>
      <c r="B19" s="1262" t="s">
        <v>258</v>
      </c>
      <c r="C19" s="1263" t="s">
        <v>258</v>
      </c>
      <c r="D19" s="1263" t="s">
        <v>259</v>
      </c>
      <c r="E19" s="1263" t="s">
        <v>258</v>
      </c>
      <c r="F19" s="1263" t="s">
        <v>260</v>
      </c>
      <c r="G19" s="1263" t="s">
        <v>370</v>
      </c>
      <c r="H19" s="1264"/>
      <c r="I19" s="1264" t="s">
        <v>261</v>
      </c>
      <c r="J19" s="1264" t="s">
        <v>262</v>
      </c>
      <c r="K19" s="1265" t="s">
        <v>255</v>
      </c>
      <c r="L19" s="1268"/>
      <c r="M19" s="1267" t="s">
        <v>263</v>
      </c>
      <c r="N19" s="1267" t="s">
        <v>263</v>
      </c>
    </row>
    <row r="20" spans="1:17" ht="12.75" customHeight="1" x14ac:dyDescent="0.2">
      <c r="A20" s="1269" t="s">
        <v>264</v>
      </c>
      <c r="B20" s="1262" t="s">
        <v>265</v>
      </c>
      <c r="C20" s="1263" t="s">
        <v>266</v>
      </c>
      <c r="D20" s="1270"/>
      <c r="E20" s="1270"/>
      <c r="F20" s="1270"/>
      <c r="G20" s="1270"/>
      <c r="H20" s="1264"/>
      <c r="I20" s="1264" t="s">
        <v>267</v>
      </c>
      <c r="J20" s="1264"/>
      <c r="K20" s="1265"/>
      <c r="L20" s="1268"/>
      <c r="M20" s="1271">
        <f>L21</f>
        <v>2022</v>
      </c>
      <c r="N20" s="1271">
        <f>L21</f>
        <v>2022</v>
      </c>
    </row>
    <row r="21" spans="1:17" s="1278" customFormat="1" ht="13.5" thickBot="1" x14ac:dyDescent="0.25">
      <c r="A21" s="1272"/>
      <c r="B21" s="1273">
        <f>B1</f>
        <v>2023</v>
      </c>
      <c r="C21" s="1273">
        <f>B1</f>
        <v>2023</v>
      </c>
      <c r="D21" s="1274">
        <f>B1</f>
        <v>2023</v>
      </c>
      <c r="E21" s="1273">
        <f>B1</f>
        <v>2023</v>
      </c>
      <c r="F21" s="1275">
        <f>B1</f>
        <v>2023</v>
      </c>
      <c r="G21" s="1275">
        <f>B1</f>
        <v>2023</v>
      </c>
      <c r="H21" s="1276"/>
      <c r="I21" s="1264"/>
      <c r="J21" s="1264"/>
      <c r="K21" s="1277">
        <f>B1</f>
        <v>2023</v>
      </c>
      <c r="L21" s="1268">
        <v>2022</v>
      </c>
      <c r="M21" s="1271" t="s">
        <v>317</v>
      </c>
      <c r="N21" s="1271" t="s">
        <v>318</v>
      </c>
    </row>
    <row r="22" spans="1:17" x14ac:dyDescent="0.2">
      <c r="A22" s="1279" t="s">
        <v>269</v>
      </c>
      <c r="B22" s="1280">
        <f>F44</f>
        <v>110635.08112</v>
      </c>
      <c r="C22" s="1281">
        <f>[4]PVk!W8</f>
        <v>16487.702360217241</v>
      </c>
      <c r="D22" s="1282">
        <f>B7</f>
        <v>31812.29</v>
      </c>
      <c r="E22" s="1283">
        <v>0</v>
      </c>
      <c r="F22" s="1283">
        <f>'[4]Institucionální podpora'!F17</f>
        <v>16599.326773751203</v>
      </c>
      <c r="G22" s="1283">
        <f>'[4]Priority 2'!B23</f>
        <v>3908.2070433443405</v>
      </c>
      <c r="H22" s="1284">
        <f>'[4]Podíl na P1'!J10*(-1)</f>
        <v>-34308.833826744834</v>
      </c>
      <c r="I22" s="1285">
        <f>-6-1604-16</f>
        <v>-1626</v>
      </c>
      <c r="J22" s="1284">
        <f>(-1)*'[4]Podíl na P1'!M10</f>
        <v>-1931.6532561319432</v>
      </c>
      <c r="K22" s="1286">
        <f t="shared" ref="K22:K32" si="1">SUM(B22:J22)</f>
        <v>141576.120214436</v>
      </c>
      <c r="L22" s="1287">
        <v>133972</v>
      </c>
      <c r="M22" s="1288">
        <f>K22/L22*100</f>
        <v>105.6759025874332</v>
      </c>
      <c r="N22" s="1287">
        <f>K22-L22</f>
        <v>7604.1202144359995</v>
      </c>
    </row>
    <row r="23" spans="1:17" x14ac:dyDescent="0.2">
      <c r="A23" s="1289" t="s">
        <v>270</v>
      </c>
      <c r="B23" s="1290">
        <f t="shared" ref="B23:B27" si="2">F45</f>
        <v>23146.771831280319</v>
      </c>
      <c r="C23" s="1291">
        <f>[4]PVk!W9</f>
        <v>4582.130695217068</v>
      </c>
      <c r="D23" s="1292">
        <v>0</v>
      </c>
      <c r="E23" s="1292">
        <v>0</v>
      </c>
      <c r="F23" s="1283">
        <f>'[4]Institucionální podpora'!F18</f>
        <v>3042.3816321111326</v>
      </c>
      <c r="G23" s="1283">
        <f>'[4]Priority 2'!C23</f>
        <v>549.50575519604854</v>
      </c>
      <c r="H23" s="1293">
        <f>'[4]Podíl na P1'!J11*(-1)</f>
        <v>-5219.0588099809056</v>
      </c>
      <c r="I23" s="1294">
        <f>0-10-0</f>
        <v>-10</v>
      </c>
      <c r="J23" s="1293">
        <f>(-1)*'[4]Podíl na P1'!M11</f>
        <v>-284.57367823251997</v>
      </c>
      <c r="K23" s="1295">
        <f t="shared" si="1"/>
        <v>25807.157425591144</v>
      </c>
      <c r="L23" s="1296">
        <v>24869</v>
      </c>
      <c r="M23" s="1297">
        <f t="shared" ref="M23:M28" si="3">K23/L23*100</f>
        <v>103.77239706297456</v>
      </c>
      <c r="N23" s="1296">
        <f t="shared" ref="N23:N32" si="4">K23-L23</f>
        <v>938.15742559114369</v>
      </c>
    </row>
    <row r="24" spans="1:17" x14ac:dyDescent="0.2">
      <c r="A24" s="1289" t="s">
        <v>271</v>
      </c>
      <c r="B24" s="1290">
        <f t="shared" si="2"/>
        <v>83469.715469155708</v>
      </c>
      <c r="C24" s="1291">
        <f>[4]PVk!W10</f>
        <v>28159.718818193916</v>
      </c>
      <c r="D24" s="1292">
        <f>B9/4</f>
        <v>1586.2505000000001</v>
      </c>
      <c r="E24" s="1292">
        <v>0</v>
      </c>
      <c r="F24" s="1283">
        <f>'[4]Institucionální podpora'!F19</f>
        <v>33442.593478617055</v>
      </c>
      <c r="G24" s="1283">
        <f>'[4]Priority 2'!D23</f>
        <v>2249.9207865527096</v>
      </c>
      <c r="H24" s="1293">
        <f>'[4]Podíl na P1'!J12*(-1)</f>
        <v>-24669.39758037707</v>
      </c>
      <c r="I24" s="1294">
        <f>0-2-0</f>
        <v>-2</v>
      </c>
      <c r="J24" s="1293">
        <f>(-1)*'[4]Podíl na P1'!M12</f>
        <v>-1585.5849635002899</v>
      </c>
      <c r="K24" s="1295">
        <f t="shared" si="1"/>
        <v>122651.21650864203</v>
      </c>
      <c r="L24" s="1296">
        <v>117919</v>
      </c>
      <c r="M24" s="1297">
        <f t="shared" si="3"/>
        <v>104.013107733819</v>
      </c>
      <c r="N24" s="1296">
        <f t="shared" si="4"/>
        <v>4732.2165086420282</v>
      </c>
    </row>
    <row r="25" spans="1:17" x14ac:dyDescent="0.2">
      <c r="A25" s="1289" t="s">
        <v>272</v>
      </c>
      <c r="B25" s="1290">
        <f t="shared" si="2"/>
        <v>112619.56688</v>
      </c>
      <c r="C25" s="1291">
        <f>[4]PVk!W11</f>
        <v>36675.442615498134</v>
      </c>
      <c r="D25" s="1292">
        <f>B9/4+B10</f>
        <v>6028.7735000000002</v>
      </c>
      <c r="E25" s="1292">
        <v>0</v>
      </c>
      <c r="F25" s="1283">
        <f>'[4]Institucionální podpora'!F20</f>
        <v>41932.528372071087</v>
      </c>
      <c r="G25" s="1283">
        <f>'[4]Priority 2'!E23</f>
        <v>5458.4238349474153</v>
      </c>
      <c r="H25" s="1293">
        <f>'[4]Podíl na P1'!J13*(-1)</f>
        <v>-33030.02340452651</v>
      </c>
      <c r="I25" s="1294">
        <f>-2-390-36</f>
        <v>-428</v>
      </c>
      <c r="J25" s="1293">
        <f>(-1)*'[4]Podíl na P1'!M13</f>
        <v>-2262.6426351986624</v>
      </c>
      <c r="K25" s="1295">
        <f t="shared" si="1"/>
        <v>166994.06916279148</v>
      </c>
      <c r="L25" s="1296">
        <v>154690</v>
      </c>
      <c r="M25" s="1297">
        <f t="shared" si="3"/>
        <v>107.9540171716281</v>
      </c>
      <c r="N25" s="1296">
        <f t="shared" si="4"/>
        <v>12304.069162791478</v>
      </c>
    </row>
    <row r="26" spans="1:17" x14ac:dyDescent="0.2">
      <c r="A26" s="1289" t="s">
        <v>273</v>
      </c>
      <c r="B26" s="1290">
        <f t="shared" si="2"/>
        <v>114107.93120000001</v>
      </c>
      <c r="C26" s="1291">
        <f>[4]PVk!W12</f>
        <v>20197.123744983131</v>
      </c>
      <c r="D26" s="1292">
        <f>B8+(B9/2)</f>
        <v>12582.082</v>
      </c>
      <c r="E26" s="1292">
        <v>0</v>
      </c>
      <c r="F26" s="1283">
        <f>'[4]Institucionální podpora'!F21</f>
        <v>13431.735697964741</v>
      </c>
      <c r="G26" s="1283">
        <f>'[4]Priority 2'!F23</f>
        <v>6227.7318922218828</v>
      </c>
      <c r="H26" s="1293">
        <f>'[4]Podíl na P1'!J14*(-1)</f>
        <v>-27212.891190681683</v>
      </c>
      <c r="I26" s="1294">
        <f>0-192-0</f>
        <v>-192</v>
      </c>
      <c r="J26" s="1293">
        <f>(-1)*'[4]Podíl na P1'!M14</f>
        <v>-2978.6268675222514</v>
      </c>
      <c r="K26" s="1295">
        <f t="shared" si="1"/>
        <v>136163.08647696578</v>
      </c>
      <c r="L26" s="1296">
        <v>124292</v>
      </c>
      <c r="M26" s="1297">
        <f t="shared" si="3"/>
        <v>109.55096585215924</v>
      </c>
      <c r="N26" s="1296">
        <f t="shared" si="4"/>
        <v>11871.086476965778</v>
      </c>
    </row>
    <row r="27" spans="1:17" x14ac:dyDescent="0.2">
      <c r="A27" s="1289" t="s">
        <v>274</v>
      </c>
      <c r="B27" s="1290">
        <f t="shared" si="2"/>
        <v>49598.346566682907</v>
      </c>
      <c r="C27" s="1291">
        <f>[4]PVk!W13</f>
        <v>17928.241765890529</v>
      </c>
      <c r="D27" s="1292">
        <v>0</v>
      </c>
      <c r="E27" s="1292">
        <f>B11</f>
        <v>5497.4160000000002</v>
      </c>
      <c r="F27" s="1283">
        <f>'[4]Institucionální podpora'!F22</f>
        <v>723.31421991780417</v>
      </c>
      <c r="G27" s="1283">
        <f>'[4]Priority 2'!G23</f>
        <v>3252.4635088103896</v>
      </c>
      <c r="H27" s="1293">
        <f>'[4]Podíl na P1'!J15*(-1)</f>
        <v>-12276.128627511371</v>
      </c>
      <c r="I27" s="1294">
        <f>-1-59-0</f>
        <v>-60</v>
      </c>
      <c r="J27" s="1293">
        <f>(-1)*'[4]Podíl na P1'!M15</f>
        <v>-1843.0599552143563</v>
      </c>
      <c r="K27" s="1295">
        <f t="shared" si="1"/>
        <v>62820.593478575916</v>
      </c>
      <c r="L27" s="1296">
        <v>58525</v>
      </c>
      <c r="M27" s="1297">
        <f t="shared" si="3"/>
        <v>107.33975818637491</v>
      </c>
      <c r="N27" s="1296">
        <f t="shared" si="4"/>
        <v>4295.5934785759164</v>
      </c>
    </row>
    <row r="28" spans="1:17" x14ac:dyDescent="0.2">
      <c r="A28" s="1289" t="s">
        <v>275</v>
      </c>
      <c r="B28" s="1290">
        <f>$B$5*B50</f>
        <v>0</v>
      </c>
      <c r="C28" s="1291">
        <f>IF($E$12="Varianta 1",[4]PVk!W14,[4]PVk!Y14)</f>
        <v>0</v>
      </c>
      <c r="D28" s="1292">
        <v>0</v>
      </c>
      <c r="E28" s="1292">
        <v>0</v>
      </c>
      <c r="F28" s="1283">
        <f>'[4]Institucionální podpora'!F23</f>
        <v>31994.522825566975</v>
      </c>
      <c r="G28" s="1283">
        <f>'[4]Priority 2'!H23</f>
        <v>356.56817892721369</v>
      </c>
      <c r="H28" s="1293">
        <f>'[4]Podíl na P1'!J16*(-1)</f>
        <v>-5257.7245401649088</v>
      </c>
      <c r="I28" s="1294">
        <f>0-53-83</f>
        <v>-136</v>
      </c>
      <c r="J28" s="1293">
        <f>(-1)*'[4]Podíl na P1'!M16</f>
        <v>-113.85864419997593</v>
      </c>
      <c r="K28" s="1295">
        <f t="shared" si="1"/>
        <v>26843.507820129304</v>
      </c>
      <c r="L28" s="1296">
        <v>25671</v>
      </c>
      <c r="M28" s="1297">
        <f t="shared" si="3"/>
        <v>104.56744115978849</v>
      </c>
      <c r="N28" s="1296">
        <f t="shared" si="4"/>
        <v>1172.5078201293036</v>
      </c>
    </row>
    <row r="29" spans="1:17" x14ac:dyDescent="0.2">
      <c r="A29" s="1289" t="s">
        <v>276</v>
      </c>
      <c r="B29" s="1290"/>
      <c r="C29" s="1291"/>
      <c r="D29" s="1298"/>
      <c r="E29" s="1298"/>
      <c r="F29" s="1298"/>
      <c r="G29" s="1298"/>
      <c r="H29" s="1293"/>
      <c r="I29" s="1294"/>
      <c r="J29" s="1293"/>
      <c r="K29" s="1295">
        <f t="shared" si="1"/>
        <v>0</v>
      </c>
      <c r="L29" s="1296">
        <v>0</v>
      </c>
      <c r="M29" s="1297"/>
      <c r="N29" s="1296"/>
      <c r="O29" s="605"/>
      <c r="P29" s="1299"/>
      <c r="Q29" s="1300"/>
    </row>
    <row r="30" spans="1:17" s="1303" customFormat="1" x14ac:dyDescent="0.2">
      <c r="A30" s="1289" t="s">
        <v>277</v>
      </c>
      <c r="B30" s="1290"/>
      <c r="C30" s="1291"/>
      <c r="D30" s="1301"/>
      <c r="E30" s="1301"/>
      <c r="F30" s="1302"/>
      <c r="G30" s="1302"/>
      <c r="H30" s="1293">
        <f>'[4]Podíl na P1'!B31</f>
        <v>92308</v>
      </c>
      <c r="I30" s="1294"/>
      <c r="J30" s="1293"/>
      <c r="K30" s="1295">
        <f>SUM(B30:J30)</f>
        <v>92308</v>
      </c>
      <c r="L30" s="1296">
        <v>86942</v>
      </c>
      <c r="M30" s="1297">
        <f>K30/L30*100</f>
        <v>106.17193071242899</v>
      </c>
      <c r="N30" s="1296">
        <f t="shared" si="4"/>
        <v>5366</v>
      </c>
      <c r="O30" s="622"/>
    </row>
    <row r="31" spans="1:17" s="1303" customFormat="1" x14ac:dyDescent="0.2">
      <c r="A31" s="1289" t="s">
        <v>371</v>
      </c>
      <c r="B31" s="1290"/>
      <c r="C31" s="1291"/>
      <c r="D31" s="1301"/>
      <c r="E31" s="1301"/>
      <c r="F31" s="1302"/>
      <c r="G31" s="1302"/>
      <c r="H31" s="1304">
        <f>'[4]Podíl na P1'!B32</f>
        <v>11742</v>
      </c>
      <c r="I31" s="1294"/>
      <c r="J31" s="1293"/>
      <c r="K31" s="1295">
        <f>SUM(B31:J31)</f>
        <v>11742</v>
      </c>
      <c r="L31" s="1296">
        <v>9673</v>
      </c>
      <c r="M31" s="1297">
        <f>K31/L31*100</f>
        <v>121.38943450842552</v>
      </c>
      <c r="N31" s="1296">
        <f t="shared" si="4"/>
        <v>2069</v>
      </c>
      <c r="O31" s="622"/>
    </row>
    <row r="32" spans="1:17" s="1303" customFormat="1" x14ac:dyDescent="0.2">
      <c r="A32" s="1289" t="s">
        <v>278</v>
      </c>
      <c r="B32" s="1290"/>
      <c r="C32" s="1291"/>
      <c r="D32" s="1301"/>
      <c r="E32" s="1301"/>
      <c r="F32" s="1301"/>
      <c r="G32" s="1301"/>
      <c r="H32" s="1293">
        <f>'[4]Podíl na P1'!B30</f>
        <v>38344</v>
      </c>
      <c r="I32" s="1294"/>
      <c r="J32" s="1293"/>
      <c r="K32" s="1295">
        <f t="shared" si="1"/>
        <v>38344</v>
      </c>
      <c r="L32" s="1296">
        <v>40008</v>
      </c>
      <c r="M32" s="1297">
        <f>K32/L32*100</f>
        <v>95.840831833633274</v>
      </c>
      <c r="N32" s="1296">
        <f t="shared" si="4"/>
        <v>-1664</v>
      </c>
      <c r="O32" s="622"/>
    </row>
    <row r="33" spans="1:15" x14ac:dyDescent="0.2">
      <c r="A33" s="1289" t="s">
        <v>246</v>
      </c>
      <c r="B33" s="1290"/>
      <c r="C33" s="1290"/>
      <c r="D33" s="1292"/>
      <c r="E33" s="1292"/>
      <c r="F33" s="1292"/>
      <c r="G33" s="1292"/>
      <c r="H33" s="1305"/>
      <c r="I33" s="1294">
        <f>-SUM(I22:I28)</f>
        <v>2454</v>
      </c>
      <c r="J33" s="1293">
        <f>-SUM(J22:J32)</f>
        <v>10999.999999999998</v>
      </c>
      <c r="K33" s="1295">
        <f>SUM(B33:J33)</f>
        <v>13453.999999999998</v>
      </c>
      <c r="L33" s="1296">
        <v>12910</v>
      </c>
      <c r="M33" s="1297">
        <f>K33/L33*100</f>
        <v>104.21378776142525</v>
      </c>
      <c r="N33" s="1296">
        <f>K33-L33</f>
        <v>543.99999999999818</v>
      </c>
      <c r="O33" s="605"/>
    </row>
    <row r="34" spans="1:15" ht="13.5" thickBot="1" x14ac:dyDescent="0.25">
      <c r="A34" s="1306" t="s">
        <v>347</v>
      </c>
      <c r="B34" s="1307">
        <f>(D51+E51)*(-1)</f>
        <v>2544.0269328810646</v>
      </c>
      <c r="C34" s="1308"/>
      <c r="D34" s="1309"/>
      <c r="E34" s="1309"/>
      <c r="F34" s="1309"/>
      <c r="G34" s="1309"/>
      <c r="H34" s="1310">
        <f>'[4]Podíl na P1'!J21*(-1)</f>
        <v>-419.94202001270065</v>
      </c>
      <c r="I34" s="1311"/>
      <c r="J34" s="1310"/>
      <c r="K34" s="1312">
        <f>SUM(B34:J34)</f>
        <v>2124.084912868364</v>
      </c>
      <c r="L34" s="1313">
        <v>7667</v>
      </c>
      <c r="M34" s="1314"/>
      <c r="N34" s="1315"/>
      <c r="O34" s="605"/>
    </row>
    <row r="35" spans="1:15" ht="14.25" thickTop="1" thickBot="1" x14ac:dyDescent="0.25">
      <c r="A35" s="1316" t="s">
        <v>17</v>
      </c>
      <c r="B35" s="1317">
        <f>SUM(B22:B34)</f>
        <v>496121.43999999994</v>
      </c>
      <c r="C35" s="1318">
        <f>SUM(C22:C33)</f>
        <v>124030.36000000002</v>
      </c>
      <c r="D35" s="1319">
        <f>SUM(D22:D33)</f>
        <v>52009.396000000008</v>
      </c>
      <c r="E35" s="1319">
        <f>SUM(E22:E33)</f>
        <v>5497.4160000000002</v>
      </c>
      <c r="F35" s="1319">
        <f>SUM(F22:F33)</f>
        <v>141166.40300000002</v>
      </c>
      <c r="G35" s="1319">
        <f>SUM(G22:G33)</f>
        <v>22002.821</v>
      </c>
      <c r="H35" s="1320">
        <f>SUM(H22:H34)</f>
        <v>3.4503955248510465E-11</v>
      </c>
      <c r="I35" s="1320">
        <f>SUM(I22:I33)</f>
        <v>0</v>
      </c>
      <c r="J35" s="1320">
        <f>SUM(J22:J33)</f>
        <v>0</v>
      </c>
      <c r="K35" s="1321">
        <f>SUM(K22:K34)</f>
        <v>840827.83600000001</v>
      </c>
      <c r="L35" s="1322">
        <v>797138.64099999995</v>
      </c>
      <c r="M35" s="1323">
        <f>K35/L35*100</f>
        <v>105.48075237516935</v>
      </c>
      <c r="N35" s="1324">
        <f>SUM(N22:N33)</f>
        <v>49232.751087131648</v>
      </c>
    </row>
    <row r="36" spans="1:15" x14ac:dyDescent="0.2">
      <c r="C36" s="1325"/>
      <c r="D36" s="1325"/>
      <c r="E36" s="1325"/>
      <c r="F36" s="1325"/>
      <c r="G36" s="1325"/>
      <c r="H36" s="1191"/>
      <c r="I36" s="1191"/>
      <c r="K36" s="1299"/>
    </row>
    <row r="37" spans="1:15" ht="15.75" x14ac:dyDescent="0.2">
      <c r="C37" s="1325"/>
      <c r="D37" s="1325"/>
      <c r="E37" s="1325"/>
      <c r="F37" s="1325"/>
      <c r="G37" s="1325"/>
      <c r="H37" s="1479"/>
      <c r="I37" s="1479"/>
      <c r="J37" s="1479"/>
      <c r="K37" s="1479"/>
      <c r="M37" s="1206"/>
    </row>
    <row r="38" spans="1:15" ht="13.5" customHeight="1" thickBot="1" x14ac:dyDescent="0.25">
      <c r="A38" s="1194" t="s">
        <v>280</v>
      </c>
      <c r="H38" s="1326"/>
      <c r="I38" s="1326"/>
      <c r="J38" s="1326"/>
      <c r="K38" s="1326"/>
      <c r="L38" s="1206"/>
      <c r="N38" s="1206"/>
    </row>
    <row r="39" spans="1:15" ht="13.5" customHeight="1" x14ac:dyDescent="0.2">
      <c r="A39" s="1327" t="s">
        <v>281</v>
      </c>
      <c r="B39" s="1328" t="s">
        <v>282</v>
      </c>
      <c r="C39" s="1328" t="s">
        <v>283</v>
      </c>
      <c r="D39" s="1480" t="s">
        <v>349</v>
      </c>
      <c r="E39" s="1480" t="s">
        <v>350</v>
      </c>
      <c r="F39" s="1483" t="s">
        <v>351</v>
      </c>
      <c r="G39" s="1329"/>
      <c r="H39" s="1478"/>
      <c r="I39" s="1478"/>
      <c r="J39" s="1478"/>
      <c r="K39" s="1478"/>
      <c r="L39" s="1478"/>
      <c r="M39" s="1478"/>
    </row>
    <row r="40" spans="1:15" x14ac:dyDescent="0.2">
      <c r="A40" s="1330"/>
      <c r="B40" s="1331" t="s">
        <v>285</v>
      </c>
      <c r="C40" s="1331" t="s">
        <v>286</v>
      </c>
      <c r="D40" s="1481"/>
      <c r="E40" s="1481"/>
      <c r="F40" s="1484"/>
      <c r="G40" s="1329"/>
      <c r="H40" s="1478"/>
      <c r="I40" s="1478"/>
      <c r="J40" s="1478"/>
      <c r="K40" s="1478"/>
      <c r="L40" s="1478"/>
      <c r="M40" s="1478"/>
    </row>
    <row r="41" spans="1:15" x14ac:dyDescent="0.2">
      <c r="A41" s="1330"/>
      <c r="B41" s="1331" t="s">
        <v>287</v>
      </c>
      <c r="C41" s="1331" t="s">
        <v>258</v>
      </c>
      <c r="D41" s="1481"/>
      <c r="E41" s="1481"/>
      <c r="F41" s="1484"/>
      <c r="G41" s="1329"/>
      <c r="H41" s="1332"/>
      <c r="I41" s="1333"/>
      <c r="J41" s="1332"/>
      <c r="K41" s="1334"/>
      <c r="L41" s="1333"/>
      <c r="M41" s="1333"/>
    </row>
    <row r="42" spans="1:15" x14ac:dyDescent="0.2">
      <c r="A42" s="1330"/>
      <c r="B42" s="1331" t="s">
        <v>288</v>
      </c>
      <c r="C42" s="1330" t="s">
        <v>265</v>
      </c>
      <c r="D42" s="1481"/>
      <c r="E42" s="1481"/>
      <c r="F42" s="1484"/>
      <c r="G42" s="1329"/>
      <c r="H42" s="1333"/>
      <c r="I42" s="1333"/>
      <c r="J42" s="1332"/>
      <c r="K42" s="1334"/>
      <c r="L42" s="1333"/>
      <c r="M42" s="1333"/>
    </row>
    <row r="43" spans="1:15" ht="13.5" thickBot="1" x14ac:dyDescent="0.25">
      <c r="A43" s="1335"/>
      <c r="B43" s="1331" t="s">
        <v>352</v>
      </c>
      <c r="C43" s="1336">
        <v>2023</v>
      </c>
      <c r="D43" s="1482"/>
      <c r="E43" s="1482"/>
      <c r="F43" s="1485"/>
      <c r="G43" s="1329"/>
      <c r="H43" s="1333"/>
      <c r="I43" s="1333"/>
      <c r="J43" s="1332"/>
      <c r="K43" s="1334"/>
      <c r="L43" s="1333"/>
      <c r="M43" s="1333"/>
    </row>
    <row r="44" spans="1:15" x14ac:dyDescent="0.2">
      <c r="A44" s="1337" t="s">
        <v>269</v>
      </c>
      <c r="B44" s="1338">
        <v>0.223</v>
      </c>
      <c r="C44" s="1339">
        <f>ROUND(B44*C51,1000)</f>
        <v>110635.08112</v>
      </c>
      <c r="D44" s="1340"/>
      <c r="E44" s="1340">
        <f>[4]Studenti_KEN!R41+[4]Studenti_KEN!S41+[4]Studenti_KEN!T41</f>
        <v>0</v>
      </c>
      <c r="F44" s="1341">
        <f>C44+E44+D44</f>
        <v>110635.08112</v>
      </c>
      <c r="G44" s="1342"/>
      <c r="H44" s="1333"/>
      <c r="I44" s="1333"/>
      <c r="J44" s="1332"/>
      <c r="K44" s="1334"/>
      <c r="L44" s="1333"/>
      <c r="M44" s="1333"/>
    </row>
    <row r="45" spans="1:15" x14ac:dyDescent="0.2">
      <c r="A45" s="1343" t="s">
        <v>270</v>
      </c>
      <c r="B45" s="1344">
        <v>4.8000000000000001E-2</v>
      </c>
      <c r="C45" s="1345">
        <f>ROUND(B45*C51,1000)</f>
        <v>23813.829119999999</v>
      </c>
      <c r="D45" s="1346">
        <f>[4]Mezifakultní_výuka!D32/1000*(-1)</f>
        <v>-276.04126656550341</v>
      </c>
      <c r="E45" s="1346">
        <f>[4]Studenti_KEN!R42+[4]Studenti_KEN!S42+[4]Studenti_KEN!T42</f>
        <v>-391.01602215417705</v>
      </c>
      <c r="F45" s="1347">
        <f>C45+E45+D45</f>
        <v>23146.771831280319</v>
      </c>
      <c r="G45" s="1342"/>
      <c r="H45" s="1333"/>
      <c r="I45" s="1333"/>
      <c r="J45" s="1332"/>
      <c r="K45" s="1334"/>
      <c r="L45" s="1333"/>
      <c r="M45" s="1333"/>
    </row>
    <row r="46" spans="1:15" x14ac:dyDescent="0.2">
      <c r="A46" s="1343" t="s">
        <v>271</v>
      </c>
      <c r="B46" s="1344">
        <v>0.17199999999999999</v>
      </c>
      <c r="C46" s="1345">
        <f>ROUND(B46*C51,1000)</f>
        <v>85332.88768</v>
      </c>
      <c r="D46" s="1346"/>
      <c r="E46" s="1346">
        <f>[4]Studenti_KEN!R43+[4]Studenti_KEN!S43+[4]Studenti_KEN!T43</f>
        <v>-1863.1722108442889</v>
      </c>
      <c r="F46" s="1347">
        <f>C46+E46+D46</f>
        <v>83469.715469155708</v>
      </c>
      <c r="G46" s="1342"/>
      <c r="H46" s="1333"/>
      <c r="I46" s="1333"/>
      <c r="J46" s="1332"/>
      <c r="K46" s="1334"/>
      <c r="L46" s="1333"/>
      <c r="M46" s="1333"/>
    </row>
    <row r="47" spans="1:15" x14ac:dyDescent="0.2">
      <c r="A47" s="1343" t="s">
        <v>272</v>
      </c>
      <c r="B47" s="1344">
        <v>0.22700000000000001</v>
      </c>
      <c r="C47" s="1345">
        <f>ROUND(B47*C51,1000)</f>
        <v>112619.56688</v>
      </c>
      <c r="D47" s="1346"/>
      <c r="E47" s="1346">
        <f>[4]Studenti_KEN!R44+[4]Studenti_KEN!S44+[4]Studenti_KEN!T44</f>
        <v>0</v>
      </c>
      <c r="F47" s="1347">
        <f t="shared" ref="F47:F50" si="5">C47+E47+D47</f>
        <v>112619.56688</v>
      </c>
      <c r="G47" s="1342"/>
      <c r="H47" s="1333"/>
      <c r="I47" s="1333"/>
      <c r="J47" s="1332"/>
      <c r="K47" s="1334"/>
      <c r="L47" s="1333"/>
      <c r="M47" s="1333"/>
    </row>
    <row r="48" spans="1:15" x14ac:dyDescent="0.2">
      <c r="A48" s="1343" t="s">
        <v>273</v>
      </c>
      <c r="B48" s="1344">
        <v>0.23</v>
      </c>
      <c r="C48" s="1345">
        <f>ROUND(B48*C51,1000)</f>
        <v>114107.93120000001</v>
      </c>
      <c r="D48" s="1346"/>
      <c r="E48" s="1346">
        <f>[4]Studenti_KEN!R45+[4]Studenti_KEN!S45+[4]Studenti_KEN!T45</f>
        <v>0</v>
      </c>
      <c r="F48" s="1347">
        <f t="shared" si="5"/>
        <v>114107.93120000001</v>
      </c>
      <c r="G48" s="1342"/>
      <c r="H48" s="1206"/>
      <c r="I48" s="1206"/>
      <c r="J48" s="1206"/>
      <c r="K48" s="1206"/>
      <c r="L48" s="1206"/>
      <c r="M48" s="1206"/>
    </row>
    <row r="49" spans="1:14" x14ac:dyDescent="0.2">
      <c r="A49" s="1343" t="s">
        <v>274</v>
      </c>
      <c r="B49" s="1344">
        <v>0.1</v>
      </c>
      <c r="C49" s="1345">
        <f>ROUND(B49*C51,1000)</f>
        <v>49612.144</v>
      </c>
      <c r="D49" s="1346">
        <f>[4]Mezifakultní_výuka!B32/1000*(-1)</f>
        <v>-13.797433317094933</v>
      </c>
      <c r="E49" s="1346">
        <f>[4]Studenti_KEN!R46+[4]Studenti_KEN!S46+[4]Studenti_KEN!T46</f>
        <v>0</v>
      </c>
      <c r="F49" s="1347">
        <f t="shared" si="5"/>
        <v>49598.346566682907</v>
      </c>
      <c r="G49" s="1342"/>
      <c r="H49" s="1348"/>
      <c r="I49" s="1348"/>
      <c r="J49" s="1206"/>
      <c r="K49" s="1206"/>
      <c r="L49" s="1348"/>
      <c r="M49" s="1348"/>
    </row>
    <row r="50" spans="1:14" ht="13.5" thickBot="1" x14ac:dyDescent="0.25">
      <c r="A50" s="1349" t="s">
        <v>275</v>
      </c>
      <c r="B50" s="1350">
        <v>0</v>
      </c>
      <c r="C50" s="1351">
        <f>ROUND(B50*C52,1000)</f>
        <v>0</v>
      </c>
      <c r="D50" s="1352"/>
      <c r="E50" s="1352">
        <f>[4]Studenti_KEN!R47+[4]Studenti_KEN!S47+[4]Studenti_KEN!T47</f>
        <v>0</v>
      </c>
      <c r="F50" s="1353">
        <f t="shared" si="5"/>
        <v>0</v>
      </c>
      <c r="G50" s="1342"/>
      <c r="J50" s="1206"/>
      <c r="K50" s="1206"/>
      <c r="L50" s="1206"/>
      <c r="M50" s="1206"/>
    </row>
    <row r="51" spans="1:14" ht="13.5" thickBot="1" x14ac:dyDescent="0.25">
      <c r="A51" s="1354" t="s">
        <v>17</v>
      </c>
      <c r="B51" s="1355">
        <f>SUM(B44:B50)</f>
        <v>1</v>
      </c>
      <c r="C51" s="1356">
        <f>E5</f>
        <v>496121.44000000006</v>
      </c>
      <c r="D51" s="1356">
        <f t="shared" ref="D51:E51" si="6">SUM(D44:D50)</f>
        <v>-289.83869988259835</v>
      </c>
      <c r="E51" s="1356">
        <f t="shared" si="6"/>
        <v>-2254.188232998466</v>
      </c>
      <c r="F51" s="1357">
        <f>SUM(F44:F50)</f>
        <v>493577.41306711891</v>
      </c>
      <c r="G51" s="1358"/>
      <c r="H51" s="1359"/>
      <c r="I51" s="1359"/>
      <c r="L51" s="1360"/>
      <c r="M51" s="1361"/>
    </row>
    <row r="52" spans="1:14" x14ac:dyDescent="0.2">
      <c r="A52" s="1359"/>
      <c r="B52" s="1359"/>
      <c r="C52" s="1359"/>
      <c r="D52" s="1359"/>
      <c r="E52" s="1359"/>
      <c r="F52" s="1359"/>
      <c r="G52" s="1359"/>
      <c r="H52" s="1359"/>
      <c r="I52" s="1359"/>
      <c r="J52" s="1359"/>
      <c r="K52" s="1359"/>
      <c r="M52" s="1360"/>
      <c r="N52" s="1361"/>
    </row>
    <row r="53" spans="1:14" x14ac:dyDescent="0.2">
      <c r="A53" s="1359"/>
      <c r="B53" s="1359"/>
      <c r="C53" s="1359"/>
      <c r="D53" s="1359"/>
      <c r="E53" s="1359"/>
      <c r="F53" s="1359"/>
      <c r="G53" s="1359"/>
      <c r="H53" s="1359"/>
      <c r="I53" s="1359"/>
      <c r="J53" s="1359"/>
      <c r="K53" s="1359"/>
      <c r="M53" s="1360"/>
      <c r="N53" s="1361"/>
    </row>
    <row r="54" spans="1:14" x14ac:dyDescent="0.2">
      <c r="A54" s="1359"/>
      <c r="B54" s="1359"/>
      <c r="C54" s="1359"/>
      <c r="D54" s="1359"/>
      <c r="E54" s="1359"/>
      <c r="F54" s="1359"/>
      <c r="G54" s="1359"/>
      <c r="H54" s="1359"/>
      <c r="I54" s="1359"/>
      <c r="J54" s="1359"/>
      <c r="K54" s="1359"/>
      <c r="M54" s="1360"/>
      <c r="N54" s="1361"/>
    </row>
    <row r="55" spans="1:14" x14ac:dyDescent="0.2">
      <c r="A55" s="1359"/>
      <c r="B55" s="1362"/>
      <c r="C55" s="1362"/>
      <c r="D55" s="1362"/>
      <c r="E55" s="1359"/>
      <c r="F55" s="1359"/>
      <c r="G55" s="1359"/>
      <c r="H55" s="1359"/>
      <c r="I55" s="1359"/>
      <c r="J55" s="1359"/>
      <c r="K55" s="1359"/>
      <c r="M55" s="1360"/>
      <c r="N55" s="1361"/>
    </row>
    <row r="56" spans="1:14" x14ac:dyDescent="0.2">
      <c r="A56" s="1363"/>
      <c r="B56" s="677"/>
      <c r="C56" s="677"/>
      <c r="D56" s="1364"/>
      <c r="E56" s="1365"/>
      <c r="F56" s="1365"/>
      <c r="G56" s="1365"/>
      <c r="H56" s="1365"/>
      <c r="I56" s="1365"/>
      <c r="J56" s="1359"/>
      <c r="K56" s="1359"/>
      <c r="M56" s="1360"/>
      <c r="N56" s="1361"/>
    </row>
    <row r="57" spans="1:14" s="1194" customFormat="1" x14ac:dyDescent="0.2">
      <c r="A57" s="1366"/>
      <c r="B57" s="681"/>
      <c r="C57" s="681"/>
      <c r="D57" s="1367"/>
      <c r="E57" s="1368"/>
      <c r="F57" s="1368"/>
      <c r="G57" s="1368"/>
      <c r="H57" s="1368"/>
      <c r="I57" s="1368"/>
      <c r="J57" s="1368"/>
      <c r="K57" s="1368"/>
      <c r="M57" s="1360"/>
      <c r="N57" s="1361"/>
    </row>
    <row r="58" spans="1:14" x14ac:dyDescent="0.2">
      <c r="A58" s="1359"/>
      <c r="C58" s="1359"/>
      <c r="D58" s="1359"/>
      <c r="E58" s="1359"/>
      <c r="F58" s="1359"/>
      <c r="G58" s="1359"/>
      <c r="H58" s="1359"/>
      <c r="I58" s="1359"/>
      <c r="J58" s="1359"/>
      <c r="K58" s="1359"/>
    </row>
    <row r="59" spans="1:14" x14ac:dyDescent="0.2">
      <c r="A59" s="1359"/>
      <c r="B59" s="1359"/>
      <c r="C59" s="1359"/>
      <c r="D59" s="1359"/>
      <c r="E59" s="1359"/>
      <c r="F59" s="1359"/>
      <c r="G59" s="1359"/>
      <c r="H59" s="1359"/>
      <c r="I59" s="1359"/>
      <c r="J59" s="1359"/>
      <c r="K59" s="1359"/>
    </row>
    <row r="60" spans="1:14" x14ac:dyDescent="0.2">
      <c r="A60" s="1359"/>
      <c r="B60" s="1359"/>
      <c r="C60" s="1359"/>
      <c r="D60" s="1359"/>
      <c r="E60" s="1359"/>
      <c r="F60" s="1359"/>
      <c r="G60" s="1359"/>
      <c r="H60" s="1359"/>
      <c r="I60" s="1359"/>
      <c r="J60" s="1359"/>
      <c r="K60" s="1359"/>
    </row>
    <row r="61" spans="1:14" x14ac:dyDescent="0.2">
      <c r="A61" s="1359"/>
      <c r="B61" s="1359"/>
      <c r="C61" s="1359"/>
      <c r="D61" s="1359"/>
      <c r="E61" s="1359"/>
      <c r="F61" s="1359"/>
      <c r="G61" s="1359"/>
      <c r="H61" s="1359"/>
      <c r="I61" s="1359"/>
      <c r="J61" s="1359"/>
      <c r="K61" s="1359"/>
    </row>
    <row r="62" spans="1:14" x14ac:dyDescent="0.2">
      <c r="A62" s="1359"/>
      <c r="B62" s="1359"/>
      <c r="C62" s="1359"/>
      <c r="D62" s="1359"/>
      <c r="E62" s="1359"/>
      <c r="F62" s="1359"/>
      <c r="G62" s="1359"/>
      <c r="H62" s="1359"/>
      <c r="I62" s="1359"/>
      <c r="J62" s="1359"/>
      <c r="K62" s="1359"/>
    </row>
    <row r="63" spans="1:14" x14ac:dyDescent="0.2">
      <c r="A63" s="1359"/>
      <c r="B63" s="1359"/>
      <c r="C63" s="1359"/>
      <c r="D63" s="1359"/>
      <c r="E63" s="1359"/>
      <c r="F63" s="1359"/>
      <c r="G63" s="1359"/>
      <c r="H63" s="1359"/>
      <c r="I63" s="1359"/>
      <c r="J63" s="1359"/>
      <c r="K63" s="1359"/>
    </row>
    <row r="64" spans="1:14" x14ac:dyDescent="0.2">
      <c r="A64" s="1359"/>
      <c r="B64" s="1359"/>
      <c r="C64" s="1359"/>
      <c r="D64" s="1359"/>
      <c r="E64" s="1359"/>
      <c r="F64" s="1359"/>
      <c r="G64" s="1359"/>
      <c r="H64" s="1359"/>
      <c r="I64" s="1359"/>
      <c r="J64" s="1359"/>
      <c r="K64" s="1359"/>
    </row>
    <row r="65" spans="1:11" x14ac:dyDescent="0.2">
      <c r="A65" s="1359"/>
      <c r="B65" s="1359"/>
      <c r="C65" s="1359"/>
      <c r="D65" s="1359"/>
      <c r="E65" s="1359"/>
      <c r="F65" s="1359"/>
      <c r="G65" s="1359"/>
      <c r="H65" s="1359"/>
      <c r="I65" s="1359"/>
      <c r="J65" s="1359"/>
      <c r="K65" s="1359"/>
    </row>
    <row r="66" spans="1:11" x14ac:dyDescent="0.2">
      <c r="A66" s="1359"/>
      <c r="B66" s="1359"/>
      <c r="C66" s="1359"/>
      <c r="D66" s="1359"/>
      <c r="E66" s="1359"/>
      <c r="F66" s="1359"/>
      <c r="G66" s="1359"/>
      <c r="H66" s="1359"/>
      <c r="I66" s="1359"/>
      <c r="J66" s="1359"/>
      <c r="K66" s="1359"/>
    </row>
    <row r="67" spans="1:11" x14ac:dyDescent="0.2">
      <c r="A67" s="1359"/>
      <c r="B67" s="1359"/>
      <c r="C67" s="1359"/>
      <c r="D67" s="1359"/>
      <c r="E67" s="1359"/>
      <c r="F67" s="1359"/>
      <c r="G67" s="1359"/>
      <c r="H67" s="1359"/>
      <c r="I67" s="1359"/>
      <c r="J67" s="1359"/>
      <c r="K67" s="1359"/>
    </row>
    <row r="68" spans="1:11" x14ac:dyDescent="0.2">
      <c r="A68" s="1359"/>
      <c r="B68" s="1359"/>
      <c r="C68" s="1359"/>
      <c r="D68" s="1359"/>
      <c r="E68" s="1359"/>
      <c r="F68" s="1359"/>
      <c r="G68" s="1359"/>
      <c r="H68" s="1359"/>
      <c r="I68" s="1359"/>
      <c r="J68" s="1359"/>
      <c r="K68" s="1359"/>
    </row>
    <row r="69" spans="1:11" x14ac:dyDescent="0.2">
      <c r="A69" s="1359"/>
      <c r="B69" s="1359"/>
      <c r="C69" s="1359"/>
      <c r="D69" s="1359"/>
      <c r="E69" s="1359"/>
      <c r="F69" s="1359"/>
      <c r="G69" s="1359"/>
      <c r="H69" s="1359"/>
      <c r="I69" s="1359"/>
      <c r="J69" s="1359"/>
      <c r="K69" s="1359"/>
    </row>
    <row r="70" spans="1:11" x14ac:dyDescent="0.2">
      <c r="A70" s="1359"/>
      <c r="B70" s="1359"/>
      <c r="C70" s="1359"/>
      <c r="D70" s="1359"/>
      <c r="E70" s="1359"/>
      <c r="F70" s="1359"/>
      <c r="G70" s="1359"/>
      <c r="H70" s="1359"/>
      <c r="I70" s="1359"/>
      <c r="J70" s="1359"/>
      <c r="K70" s="1359"/>
    </row>
    <row r="71" spans="1:11" x14ac:dyDescent="0.2">
      <c r="A71" s="1359"/>
      <c r="B71" s="1359"/>
      <c r="C71" s="1359"/>
      <c r="D71" s="1359"/>
      <c r="E71" s="1359"/>
      <c r="F71" s="1359"/>
      <c r="G71" s="1359"/>
      <c r="H71" s="1359"/>
      <c r="I71" s="1359"/>
      <c r="J71" s="1359"/>
      <c r="K71" s="1359"/>
    </row>
    <row r="72" spans="1:11" x14ac:dyDescent="0.2">
      <c r="A72" s="1359"/>
      <c r="B72" s="1359"/>
      <c r="C72" s="1359"/>
      <c r="D72" s="1359"/>
      <c r="E72" s="1359"/>
      <c r="F72" s="1359"/>
      <c r="G72" s="1359"/>
      <c r="H72" s="1359"/>
      <c r="I72" s="1359"/>
      <c r="J72" s="1359"/>
      <c r="K72" s="1359"/>
    </row>
    <row r="73" spans="1:11" x14ac:dyDescent="0.2">
      <c r="A73" s="1359"/>
      <c r="B73" s="1359"/>
      <c r="C73" s="1359"/>
      <c r="D73" s="1359"/>
      <c r="E73" s="1359"/>
      <c r="F73" s="1359"/>
      <c r="G73" s="1359"/>
      <c r="H73" s="1359"/>
      <c r="I73" s="1359"/>
      <c r="J73" s="1359"/>
      <c r="K73" s="1359"/>
    </row>
    <row r="74" spans="1:11" x14ac:dyDescent="0.2">
      <c r="A74" s="1359"/>
      <c r="B74" s="1359"/>
      <c r="C74" s="1359"/>
      <c r="D74" s="1359"/>
      <c r="E74" s="1359"/>
      <c r="F74" s="1359"/>
      <c r="G74" s="1359"/>
      <c r="H74" s="1359"/>
      <c r="I74" s="1359"/>
      <c r="J74" s="1359"/>
      <c r="K74" s="1359"/>
    </row>
    <row r="75" spans="1:11" x14ac:dyDescent="0.2">
      <c r="A75" s="1359"/>
      <c r="B75" s="1359"/>
      <c r="C75" s="1359"/>
      <c r="D75" s="1359"/>
      <c r="E75" s="1359"/>
      <c r="F75" s="1359"/>
      <c r="G75" s="1359"/>
      <c r="H75" s="1359"/>
      <c r="I75" s="1359"/>
      <c r="J75" s="1359"/>
      <c r="K75" s="1359"/>
    </row>
    <row r="76" spans="1:11" x14ac:dyDescent="0.2">
      <c r="A76" s="1359"/>
      <c r="B76" s="1359"/>
      <c r="C76" s="1359"/>
      <c r="D76" s="1359"/>
      <c r="E76" s="1359"/>
      <c r="F76" s="1359"/>
      <c r="G76" s="1359"/>
      <c r="H76" s="1359"/>
      <c r="I76" s="1359"/>
      <c r="J76" s="1359"/>
      <c r="K76" s="1359"/>
    </row>
    <row r="77" spans="1:11" x14ac:dyDescent="0.2">
      <c r="A77" s="1359"/>
      <c r="B77" s="1359"/>
      <c r="C77" s="1359"/>
      <c r="D77" s="1359"/>
      <c r="E77" s="1359"/>
      <c r="F77" s="1359"/>
      <c r="G77" s="1359"/>
      <c r="H77" s="1359"/>
      <c r="I77" s="1359"/>
      <c r="J77" s="1359"/>
      <c r="K77" s="1359"/>
    </row>
    <row r="78" spans="1:11" x14ac:dyDescent="0.2">
      <c r="A78" s="1359"/>
      <c r="B78" s="1359"/>
      <c r="C78" s="1359"/>
      <c r="D78" s="1359"/>
      <c r="E78" s="1359"/>
      <c r="F78" s="1359"/>
      <c r="G78" s="1359"/>
      <c r="H78" s="1359"/>
      <c r="I78" s="1359"/>
      <c r="J78" s="1359"/>
      <c r="K78" s="1359"/>
    </row>
    <row r="79" spans="1:11" x14ac:dyDescent="0.2">
      <c r="A79" s="1359"/>
      <c r="B79" s="1359"/>
      <c r="C79" s="1359"/>
      <c r="D79" s="1359"/>
      <c r="E79" s="1359"/>
      <c r="F79" s="1359"/>
      <c r="G79" s="1359"/>
      <c r="H79" s="1359"/>
      <c r="I79" s="1359"/>
      <c r="J79" s="1359"/>
      <c r="K79" s="1359"/>
    </row>
    <row r="80" spans="1:11" x14ac:dyDescent="0.2">
      <c r="A80" s="1359"/>
      <c r="B80" s="1359"/>
      <c r="C80" s="1359"/>
      <c r="D80" s="1359"/>
      <c r="E80" s="1359"/>
      <c r="F80" s="1359"/>
      <c r="G80" s="1359"/>
      <c r="H80" s="1359"/>
      <c r="I80" s="1359"/>
      <c r="J80" s="1359"/>
      <c r="K80" s="1359"/>
    </row>
    <row r="81" spans="4:11" x14ac:dyDescent="0.2">
      <c r="D81" s="1359"/>
      <c r="E81" s="1359"/>
      <c r="F81" s="1359"/>
      <c r="G81" s="1359"/>
      <c r="H81" s="1359"/>
      <c r="I81" s="1359"/>
      <c r="J81" s="1359"/>
      <c r="K81" s="1359"/>
    </row>
    <row r="82" spans="4:11" x14ac:dyDescent="0.2">
      <c r="D82" s="1359"/>
      <c r="E82" s="1359"/>
      <c r="F82" s="1359"/>
      <c r="G82" s="1359"/>
      <c r="H82" s="1359"/>
      <c r="I82" s="1359"/>
      <c r="J82" s="1359"/>
      <c r="K82" s="1359"/>
    </row>
    <row r="83" spans="4:11" x14ac:dyDescent="0.2">
      <c r="D83" s="1359"/>
      <c r="E83" s="1359"/>
      <c r="F83" s="1359"/>
      <c r="G83" s="1359"/>
      <c r="H83" s="1359"/>
      <c r="I83" s="1359"/>
      <c r="J83" s="1359"/>
      <c r="K83" s="1359"/>
    </row>
  </sheetData>
  <sheetProtection algorithmName="SHA-512" hashValue="59Udqo5uYSTCz+/Xwfe/yUzBu4xtdiYBfoU67eANjcM1qyhJA/aL6hA0UrLcWU2XuiZYvnhDfnvfMvKpKy1YGg==" saltValue="Bqf3F/ePPRNGxICtDiA/1Q==" spinCount="100000" sheet="1" objects="1" scenarios="1"/>
  <mergeCells count="10">
    <mergeCell ref="L39:L40"/>
    <mergeCell ref="M39:M40"/>
    <mergeCell ref="H37:K37"/>
    <mergeCell ref="D39:D43"/>
    <mergeCell ref="E39:E43"/>
    <mergeCell ref="F39:F43"/>
    <mergeCell ref="H39:H40"/>
    <mergeCell ref="I39:I40"/>
    <mergeCell ref="J39:J40"/>
    <mergeCell ref="K39:K40"/>
  </mergeCells>
  <conditionalFormatting sqref="J41:J47">
    <cfRule type="colorScale" priority="1">
      <colorScale>
        <cfvo type="min"/>
        <cfvo type="num" val="0"/>
        <cfvo type="max"/>
        <color rgb="FFFF0000"/>
        <color theme="0"/>
        <color rgb="FF00B050"/>
      </colorScale>
    </cfRule>
    <cfRule type="colorScale" priority="2">
      <colorScale>
        <cfvo type="min"/>
        <cfvo type="percentile" val="50"/>
        <cfvo type="max"/>
        <color rgb="FFF8696B"/>
        <color rgb="FFFFEB84"/>
        <color rgb="FF63BE7B"/>
      </colorScale>
    </cfRule>
  </conditionalFormatting>
  <pageMargins left="0.59055118110236227" right="0" top="0.59055118110236227" bottom="0.78740157480314965" header="0.51181102362204722" footer="0.51181102362204722"/>
  <pageSetup paperSize="9" scale="53" orientation="landscape" horizontalDpi="4294967295" r:id="rId1"/>
  <headerFooter alignWithMargins="0">
    <oddFooter>&amp;Lstr. &amp;P z &amp;N&amp;Rsoubor &amp;F; list &amp;A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A8225-09BD-4F74-A800-D17372F035E5}">
  <sheetPr>
    <tabColor rgb="FF00B050"/>
    <pageSetUpPr fitToPage="1"/>
  </sheetPr>
  <dimension ref="A1:Z82"/>
  <sheetViews>
    <sheetView zoomScaleNormal="100" zoomScalePageLayoutView="130" workbookViewId="0">
      <selection activeCell="K41" sqref="K41"/>
    </sheetView>
  </sheetViews>
  <sheetFormatPr defaultColWidth="8.42578125" defaultRowHeight="12.75" x14ac:dyDescent="0.2"/>
  <cols>
    <col min="1" max="1" width="49.42578125" style="997" bestFit="1" customWidth="1"/>
    <col min="2" max="2" width="16.42578125" style="996" bestFit="1" customWidth="1"/>
    <col min="3" max="3" width="14.42578125" style="996" bestFit="1" customWidth="1"/>
    <col min="4" max="4" width="16.140625" style="996" customWidth="1"/>
    <col min="5" max="6" width="11.42578125" style="996" customWidth="1"/>
    <col min="7" max="9" width="11.42578125" style="997" customWidth="1"/>
    <col min="10" max="10" width="15.42578125" style="997" customWidth="1"/>
    <col min="11" max="11" width="11.42578125" style="997" customWidth="1"/>
    <col min="12" max="12" width="13.42578125" style="997" customWidth="1"/>
    <col min="13" max="13" width="13.140625" style="997" customWidth="1"/>
    <col min="14" max="14" width="10.7109375" style="997" bestFit="1" customWidth="1"/>
    <col min="15" max="15" width="8.42578125" style="997"/>
    <col min="16" max="16" width="15.140625" style="997" bestFit="1" customWidth="1"/>
    <col min="17" max="17" width="16.28515625" style="997" bestFit="1" customWidth="1"/>
    <col min="18" max="18" width="1.42578125" style="997" customWidth="1"/>
    <col min="19" max="19" width="15.28515625" style="997" bestFit="1" customWidth="1"/>
    <col min="20" max="20" width="16.42578125" style="997" bestFit="1" customWidth="1"/>
    <col min="21" max="21" width="8.42578125" style="997"/>
    <col min="22" max="22" width="18.85546875" style="997" bestFit="1" customWidth="1"/>
    <col min="23" max="23" width="18.7109375" style="997" bestFit="1" customWidth="1"/>
    <col min="24" max="16384" width="8.42578125" style="997"/>
  </cols>
  <sheetData>
    <row r="1" spans="1:26" ht="25.5" customHeight="1" x14ac:dyDescent="0.4">
      <c r="A1" s="993" t="s">
        <v>212</v>
      </c>
      <c r="B1" s="994">
        <v>2022</v>
      </c>
      <c r="C1" s="995" t="s">
        <v>213</v>
      </c>
      <c r="G1" s="996"/>
      <c r="H1" s="996"/>
      <c r="I1" s="996"/>
    </row>
    <row r="2" spans="1:26" ht="13.35" customHeight="1" x14ac:dyDescent="0.4">
      <c r="A2" s="993"/>
      <c r="B2" s="998"/>
      <c r="D2" s="995"/>
      <c r="G2" s="996"/>
      <c r="H2" s="996"/>
      <c r="I2" s="996"/>
    </row>
    <row r="3" spans="1:26" ht="13.35" customHeight="1" thickBot="1" x14ac:dyDescent="0.25">
      <c r="A3" s="999" t="s">
        <v>214</v>
      </c>
    </row>
    <row r="4" spans="1:26" ht="13.35" customHeight="1" thickBot="1" x14ac:dyDescent="0.25">
      <c r="A4" s="1000" t="s">
        <v>215</v>
      </c>
      <c r="B4" s="1001" t="s">
        <v>216</v>
      </c>
      <c r="C4" s="1002"/>
      <c r="D4" s="1003" t="s">
        <v>217</v>
      </c>
      <c r="E4" s="1004" t="s">
        <v>216</v>
      </c>
      <c r="F4" s="1004" t="s">
        <v>218</v>
      </c>
      <c r="H4" s="1005" t="s">
        <v>219</v>
      </c>
      <c r="I4" s="1006"/>
      <c r="J4" s="1007"/>
      <c r="K4" s="1008" t="s">
        <v>220</v>
      </c>
      <c r="L4" s="1009" t="s">
        <v>216</v>
      </c>
      <c r="M4" s="1010"/>
    </row>
    <row r="5" spans="1:26" ht="13.35" customHeight="1" x14ac:dyDescent="0.3">
      <c r="A5" s="1011" t="s">
        <v>221</v>
      </c>
      <c r="B5" s="1012">
        <f>(500951028+96317036)/1000</f>
        <v>597268.06400000001</v>
      </c>
      <c r="C5" s="1013"/>
      <c r="D5" s="1014" t="s">
        <v>222</v>
      </c>
      <c r="E5" s="1015">
        <f>F5*(B5+B6)</f>
        <v>480207.29520000005</v>
      </c>
      <c r="F5" s="1016">
        <v>0.8</v>
      </c>
      <c r="G5" s="1017"/>
      <c r="H5" s="1018" t="s">
        <v>223</v>
      </c>
      <c r="I5" s="1019"/>
      <c r="J5" s="1020"/>
      <c r="K5" s="1021">
        <f>[5]PVk!AC5*100</f>
        <v>30</v>
      </c>
      <c r="L5" s="1022">
        <f>ROUND(E$6*K5/100,0)</f>
        <v>36016</v>
      </c>
      <c r="M5" s="1010"/>
    </row>
    <row r="6" spans="1:26" ht="13.35" customHeight="1" thickBot="1" x14ac:dyDescent="0.35">
      <c r="A6" s="1023" t="s">
        <v>345</v>
      </c>
      <c r="B6" s="1024">
        <f>2991055/1000</f>
        <v>2991.0549999999998</v>
      </c>
      <c r="C6" s="1013"/>
      <c r="D6" s="1025" t="s">
        <v>225</v>
      </c>
      <c r="E6" s="1026">
        <f>F6*(B5+B6)</f>
        <v>120051.82380000001</v>
      </c>
      <c r="F6" s="1027">
        <v>0.2</v>
      </c>
      <c r="G6" s="1028"/>
      <c r="H6" s="1029" t="s">
        <v>226</v>
      </c>
      <c r="I6" s="1030"/>
      <c r="J6" s="1031"/>
      <c r="K6" s="1032">
        <f>[5]PVk!AC6*100</f>
        <v>8</v>
      </c>
      <c r="L6" s="1033">
        <f t="shared" ref="L6:L12" si="0">ROUND(E$6*K6/100,0)</f>
        <v>9604</v>
      </c>
      <c r="M6" s="1010"/>
    </row>
    <row r="7" spans="1:26" ht="13.35" customHeight="1" thickBot="1" x14ac:dyDescent="0.25">
      <c r="A7" s="1034" t="s">
        <v>227</v>
      </c>
      <c r="B7" s="1035">
        <f>31812290/1000</f>
        <v>31812.29</v>
      </c>
      <c r="C7" s="1013"/>
      <c r="D7" s="1036" t="s">
        <v>228</v>
      </c>
      <c r="E7" s="1037">
        <f>SUM(E5:E6)</f>
        <v>600259.11900000006</v>
      </c>
      <c r="F7" s="1038">
        <f>SUM(F5:F6)</f>
        <v>1</v>
      </c>
      <c r="G7" s="1039"/>
      <c r="H7" s="1029" t="s">
        <v>229</v>
      </c>
      <c r="I7" s="1030"/>
      <c r="J7" s="1031"/>
      <c r="K7" s="1032">
        <f>[5]PVk!AC7*100</f>
        <v>5</v>
      </c>
      <c r="L7" s="1033">
        <f t="shared" si="0"/>
        <v>6003</v>
      </c>
      <c r="M7" s="1010"/>
      <c r="Q7" s="1040"/>
      <c r="T7" s="1041"/>
      <c r="V7" s="1041"/>
      <c r="X7" s="1041"/>
      <c r="Z7" s="1041"/>
    </row>
    <row r="8" spans="1:26" ht="13.35" customHeight="1" x14ac:dyDescent="0.2">
      <c r="A8" s="1034" t="s">
        <v>230</v>
      </c>
      <c r="B8" s="1042">
        <f>7685437/1000</f>
        <v>7685.4369999999999</v>
      </c>
      <c r="C8" s="1013"/>
      <c r="D8" s="1043"/>
      <c r="E8" s="1044"/>
      <c r="F8" s="1045"/>
      <c r="G8" s="1046"/>
      <c r="H8" s="1029" t="s">
        <v>314</v>
      </c>
      <c r="I8" s="1030"/>
      <c r="J8" s="1031"/>
      <c r="K8" s="1032">
        <f>[5]PVk!AC4*100</f>
        <v>10</v>
      </c>
      <c r="L8" s="1033">
        <f t="shared" si="0"/>
        <v>12005</v>
      </c>
      <c r="M8" s="1010"/>
    </row>
    <row r="9" spans="1:26" ht="13.35" customHeight="1" x14ac:dyDescent="0.2">
      <c r="A9" s="1034" t="s">
        <v>232</v>
      </c>
      <c r="B9" s="1047">
        <f>6294140/1000</f>
        <v>6294.14</v>
      </c>
      <c r="C9" s="1013"/>
      <c r="H9" s="1029" t="s">
        <v>233</v>
      </c>
      <c r="I9" s="1030"/>
      <c r="J9" s="1031"/>
      <c r="K9" s="1032">
        <f>[5]PVk!AC10*100</f>
        <v>0</v>
      </c>
      <c r="L9" s="1033">
        <f t="shared" si="0"/>
        <v>0</v>
      </c>
      <c r="M9" s="1010"/>
    </row>
    <row r="10" spans="1:26" ht="13.35" customHeight="1" x14ac:dyDescent="0.2">
      <c r="A10" s="1048" t="s">
        <v>315</v>
      </c>
      <c r="B10" s="1047">
        <f>4289047/1000</f>
        <v>4289.0469999999996</v>
      </c>
      <c r="C10" s="1013"/>
      <c r="D10" s="999"/>
      <c r="E10" s="999"/>
      <c r="F10" s="999"/>
      <c r="G10" s="1049"/>
      <c r="H10" s="1029" t="s">
        <v>235</v>
      </c>
      <c r="I10" s="1050"/>
      <c r="J10" s="1031"/>
      <c r="K10" s="1032">
        <f>[5]PVk!AC12*100</f>
        <v>10</v>
      </c>
      <c r="L10" s="1033">
        <f t="shared" si="0"/>
        <v>12005</v>
      </c>
      <c r="M10" s="1010"/>
    </row>
    <row r="11" spans="1:26" ht="13.35" customHeight="1" x14ac:dyDescent="0.2">
      <c r="A11" s="1023" t="s">
        <v>234</v>
      </c>
      <c r="B11" s="1024">
        <f>5632205/1000</f>
        <v>5632.2049999999999</v>
      </c>
      <c r="C11" s="1013"/>
      <c r="D11" s="999"/>
      <c r="E11" s="999"/>
      <c r="F11" s="999"/>
      <c r="G11" s="1049"/>
      <c r="H11" s="1029" t="s">
        <v>237</v>
      </c>
      <c r="I11" s="1030"/>
      <c r="J11" s="1031"/>
      <c r="K11" s="1032">
        <f>[5]PVk!AC13*100</f>
        <v>37</v>
      </c>
      <c r="L11" s="1033">
        <f t="shared" si="0"/>
        <v>44419</v>
      </c>
      <c r="M11" s="1010"/>
    </row>
    <row r="12" spans="1:26" ht="13.35" customHeight="1" thickBot="1" x14ac:dyDescent="0.25">
      <c r="A12" s="1023" t="s">
        <v>236</v>
      </c>
      <c r="B12" s="1047">
        <f>141166403/1000</f>
        <v>141166.40299999999</v>
      </c>
      <c r="C12" s="1013"/>
      <c r="D12" s="999"/>
      <c r="E12" s="999"/>
      <c r="F12" s="999"/>
      <c r="G12" s="1049"/>
      <c r="H12" s="1051" t="s">
        <v>238</v>
      </c>
      <c r="I12" s="1052"/>
      <c r="J12" s="1053"/>
      <c r="K12" s="1054">
        <f>[5]PVk!AC9*100</f>
        <v>0</v>
      </c>
      <c r="L12" s="1055">
        <f t="shared" si="0"/>
        <v>0</v>
      </c>
      <c r="M12" s="1010"/>
    </row>
    <row r="13" spans="1:26" ht="13.35" customHeight="1" thickBot="1" x14ac:dyDescent="0.25">
      <c r="A13" s="1056"/>
      <c r="B13" s="1057"/>
      <c r="C13" s="1013"/>
      <c r="D13" s="999"/>
      <c r="E13" s="999"/>
      <c r="F13" s="999"/>
      <c r="H13" s="1005" t="s">
        <v>17</v>
      </c>
      <c r="I13" s="1006"/>
      <c r="J13" s="1006"/>
      <c r="K13" s="1008">
        <f>SUM(K5:K12)</f>
        <v>100</v>
      </c>
      <c r="L13" s="1058">
        <f>SUM(L5:L12)</f>
        <v>120052</v>
      </c>
      <c r="M13" s="1010"/>
    </row>
    <row r="14" spans="1:26" s="999" customFormat="1" ht="13.35" customHeight="1" thickBot="1" x14ac:dyDescent="0.25">
      <c r="A14" s="1059" t="s">
        <v>17</v>
      </c>
      <c r="B14" s="1060">
        <f>SUM(B5:B13)</f>
        <v>797138.64100000006</v>
      </c>
      <c r="C14" s="1013"/>
      <c r="H14" s="1010"/>
      <c r="I14" s="1010"/>
      <c r="J14" s="1010"/>
      <c r="K14" s="1010"/>
      <c r="L14" s="1010"/>
      <c r="M14" s="1010"/>
    </row>
    <row r="15" spans="1:26" x14ac:dyDescent="0.2">
      <c r="A15" s="995"/>
    </row>
    <row r="16" spans="1:26" ht="12.75" customHeight="1" thickBot="1" x14ac:dyDescent="0.25">
      <c r="A16" s="1061" t="s">
        <v>239</v>
      </c>
      <c r="C16" s="1062"/>
      <c r="M16" s="1045"/>
    </row>
    <row r="17" spans="1:16" ht="13.5" customHeight="1" x14ac:dyDescent="0.2">
      <c r="A17" s="1063"/>
      <c r="B17" s="1064" t="s">
        <v>240</v>
      </c>
      <c r="C17" s="1065" t="s">
        <v>240</v>
      </c>
      <c r="D17" s="1065" t="s">
        <v>241</v>
      </c>
      <c r="E17" s="1065" t="s">
        <v>242</v>
      </c>
      <c r="F17" s="1065" t="s">
        <v>243</v>
      </c>
      <c r="G17" s="1066" t="s">
        <v>244</v>
      </c>
      <c r="H17" s="1066" t="s">
        <v>245</v>
      </c>
      <c r="I17" s="1066" t="s">
        <v>246</v>
      </c>
      <c r="J17" s="1067" t="s">
        <v>17</v>
      </c>
      <c r="K17" s="1068" t="s">
        <v>239</v>
      </c>
      <c r="L17" s="1069" t="s">
        <v>80</v>
      </c>
      <c r="M17" s="1069" t="s">
        <v>80</v>
      </c>
    </row>
    <row r="18" spans="1:16" ht="15.75" x14ac:dyDescent="0.25">
      <c r="A18" s="1070" t="s">
        <v>346</v>
      </c>
      <c r="B18" s="1071" t="s">
        <v>248</v>
      </c>
      <c r="C18" s="1072" t="s">
        <v>248</v>
      </c>
      <c r="D18" s="1072" t="s">
        <v>249</v>
      </c>
      <c r="E18" s="1072" t="s">
        <v>250</v>
      </c>
      <c r="F18" s="1072" t="s">
        <v>251</v>
      </c>
      <c r="G18" s="1073" t="s">
        <v>252</v>
      </c>
      <c r="H18" s="1073" t="s">
        <v>253</v>
      </c>
      <c r="I18" s="1073" t="s">
        <v>254</v>
      </c>
      <c r="J18" s="1074" t="s">
        <v>239</v>
      </c>
      <c r="K18" s="1075" t="s">
        <v>255</v>
      </c>
      <c r="L18" s="1076" t="s">
        <v>256</v>
      </c>
      <c r="M18" s="1076" t="s">
        <v>256</v>
      </c>
    </row>
    <row r="19" spans="1:16" ht="15.75" x14ac:dyDescent="0.25">
      <c r="A19" s="1070" t="s">
        <v>257</v>
      </c>
      <c r="B19" s="1071" t="s">
        <v>258</v>
      </c>
      <c r="C19" s="1072" t="s">
        <v>258</v>
      </c>
      <c r="D19" s="1072" t="s">
        <v>259</v>
      </c>
      <c r="E19" s="1072" t="s">
        <v>258</v>
      </c>
      <c r="F19" s="1072" t="s">
        <v>260</v>
      </c>
      <c r="G19" s="1073"/>
      <c r="H19" s="1073" t="s">
        <v>261</v>
      </c>
      <c r="I19" s="1073" t="s">
        <v>262</v>
      </c>
      <c r="J19" s="1074" t="s">
        <v>255</v>
      </c>
      <c r="K19" s="1077"/>
      <c r="L19" s="1076" t="s">
        <v>263</v>
      </c>
      <c r="M19" s="1076" t="s">
        <v>263</v>
      </c>
    </row>
    <row r="20" spans="1:16" ht="12.75" customHeight="1" x14ac:dyDescent="0.2">
      <c r="A20" s="1078" t="s">
        <v>264</v>
      </c>
      <c r="B20" s="1071" t="s">
        <v>265</v>
      </c>
      <c r="C20" s="1072" t="s">
        <v>266</v>
      </c>
      <c r="D20" s="1079"/>
      <c r="E20" s="1079"/>
      <c r="F20" s="1079"/>
      <c r="G20" s="1073"/>
      <c r="H20" s="1073" t="s">
        <v>267</v>
      </c>
      <c r="I20" s="1073"/>
      <c r="J20" s="1074"/>
      <c r="K20" s="1077"/>
      <c r="L20" s="1080">
        <f>K21</f>
        <v>2021</v>
      </c>
      <c r="M20" s="1080">
        <f>K21</f>
        <v>2021</v>
      </c>
    </row>
    <row r="21" spans="1:16" s="1088" customFormat="1" ht="13.5" thickBot="1" x14ac:dyDescent="0.25">
      <c r="A21" s="1081"/>
      <c r="B21" s="1082">
        <f>B1</f>
        <v>2022</v>
      </c>
      <c r="C21" s="1082">
        <f>B1</f>
        <v>2022</v>
      </c>
      <c r="D21" s="1083">
        <f>B1</f>
        <v>2022</v>
      </c>
      <c r="E21" s="1082">
        <f>B1</f>
        <v>2022</v>
      </c>
      <c r="F21" s="1084">
        <f>B1</f>
        <v>2022</v>
      </c>
      <c r="G21" s="1085"/>
      <c r="H21" s="1073"/>
      <c r="I21" s="1073"/>
      <c r="J21" s="1086">
        <f>B1</f>
        <v>2022</v>
      </c>
      <c r="K21" s="1087">
        <v>2021</v>
      </c>
      <c r="L21" s="1080" t="s">
        <v>317</v>
      </c>
      <c r="M21" s="1080" t="s">
        <v>318</v>
      </c>
    </row>
    <row r="22" spans="1:16" x14ac:dyDescent="0.2">
      <c r="A22" s="1089" t="s">
        <v>269</v>
      </c>
      <c r="B22" s="1090">
        <f>F43</f>
        <v>103159.88204759565</v>
      </c>
      <c r="C22" s="1091">
        <f>[5]PVk!W8</f>
        <v>15521.774836392782</v>
      </c>
      <c r="D22" s="1092">
        <f>B7</f>
        <v>31812.29</v>
      </c>
      <c r="E22" s="1093">
        <v>0</v>
      </c>
      <c r="F22" s="1093">
        <f>'[5]Institucionální podpora'!F17</f>
        <v>16925.366376953225</v>
      </c>
      <c r="G22" s="1094">
        <f>'[5]Podíl na P1'!J10*(-1)</f>
        <v>-29572.77122525404</v>
      </c>
      <c r="H22" s="1095">
        <f>-6-1660-4</f>
        <v>-1670</v>
      </c>
      <c r="I22" s="1094">
        <f>(-1)*'[5]Podíl na P1'!M10</f>
        <v>-2204.6340774660157</v>
      </c>
      <c r="J22" s="1096">
        <f t="shared" ref="J22:J31" si="1">SUM(B22:I22)</f>
        <v>133971.90795822159</v>
      </c>
      <c r="K22" s="1097">
        <v>104520</v>
      </c>
      <c r="L22" s="1098">
        <f>J22/K22*100</f>
        <v>128.17825101245847</v>
      </c>
      <c r="M22" s="1099">
        <f>J22-K22</f>
        <v>29451.907958221593</v>
      </c>
    </row>
    <row r="23" spans="1:16" x14ac:dyDescent="0.2">
      <c r="A23" s="1100" t="s">
        <v>270</v>
      </c>
      <c r="B23" s="1101">
        <f t="shared" ref="B23:B27" si="2">F44</f>
        <v>23049.950169600001</v>
      </c>
      <c r="C23" s="1102">
        <f>[5]PVk!W9</f>
        <v>4432.4619451839171</v>
      </c>
      <c r="D23" s="1103">
        <v>0</v>
      </c>
      <c r="E23" s="1103">
        <v>0</v>
      </c>
      <c r="F23" s="1093">
        <f>'[5]Institucionální podpora'!F18</f>
        <v>3028.0811578795201</v>
      </c>
      <c r="G23" s="1104">
        <f>'[5]Podíl na P1'!J11*(-1)</f>
        <v>-5266.4870056262253</v>
      </c>
      <c r="H23" s="1105">
        <f>0-10-0</f>
        <v>-10</v>
      </c>
      <c r="I23" s="1104">
        <f>(-1)*'[5]Podíl na P1'!M11</f>
        <v>-364.79678243614455</v>
      </c>
      <c r="J23" s="1106">
        <f t="shared" si="1"/>
        <v>24869.209484601066</v>
      </c>
      <c r="K23" s="1107">
        <v>23098</v>
      </c>
      <c r="L23" s="1108">
        <f t="shared" ref="L23:L28" si="3">J23/K23*100</f>
        <v>107.66823744307328</v>
      </c>
      <c r="M23" s="1109">
        <f t="shared" ref="M23:M31" si="4">J23-K23</f>
        <v>1771.2094846010659</v>
      </c>
    </row>
    <row r="24" spans="1:16" x14ac:dyDescent="0.2">
      <c r="A24" s="1100" t="s">
        <v>271</v>
      </c>
      <c r="B24" s="1101">
        <f t="shared" si="2"/>
        <v>77920.185866715517</v>
      </c>
      <c r="C24" s="1102">
        <f>[5]PVk!W10</f>
        <v>30578.069560168704</v>
      </c>
      <c r="D24" s="1103">
        <f>B9/4</f>
        <v>1573.5350000000001</v>
      </c>
      <c r="E24" s="1103">
        <v>0</v>
      </c>
      <c r="F24" s="1093">
        <f>'[5]Institucionální podpora'!F19</f>
        <v>34099.464088879213</v>
      </c>
      <c r="G24" s="1104">
        <f>'[5]Podíl na P1'!J12*(-1)</f>
        <v>-24489.735779804476</v>
      </c>
      <c r="H24" s="1105">
        <f>0-2-0</f>
        <v>-2</v>
      </c>
      <c r="I24" s="1104">
        <f>(-1)*'[5]Podíl na P1'!M12</f>
        <v>-1760.4729526583042</v>
      </c>
      <c r="J24" s="1106">
        <f t="shared" si="1"/>
        <v>117919.04578330065</v>
      </c>
      <c r="K24" s="1107">
        <v>116182</v>
      </c>
      <c r="L24" s="1108">
        <f t="shared" si="3"/>
        <v>101.4951074893707</v>
      </c>
      <c r="M24" s="1109">
        <f t="shared" si="4"/>
        <v>1737.0457833006512</v>
      </c>
    </row>
    <row r="25" spans="1:16" x14ac:dyDescent="0.2">
      <c r="A25" s="1100" t="s">
        <v>272</v>
      </c>
      <c r="B25" s="1101">
        <f t="shared" si="2"/>
        <v>108601.33201330491</v>
      </c>
      <c r="C25" s="1102">
        <f>[5]PVk!W11</f>
        <v>33908.562483486668</v>
      </c>
      <c r="D25" s="1103">
        <f>B9/4+B10</f>
        <v>5862.5819999999994</v>
      </c>
      <c r="E25" s="1103">
        <v>0</v>
      </c>
      <c r="F25" s="1093">
        <f>'[5]Institucionální podpora'!F20</f>
        <v>41735.427839014337</v>
      </c>
      <c r="G25" s="1104">
        <f>'[5]Podíl na P1'!J13*(-1)</f>
        <v>-32176.681563721319</v>
      </c>
      <c r="H25" s="1105">
        <f>-2-643-40</f>
        <v>-685</v>
      </c>
      <c r="I25" s="1104">
        <f>(-1)*'[5]Podíl na P1'!M13</f>
        <v>-2556.0695058338888</v>
      </c>
      <c r="J25" s="1106">
        <f t="shared" si="1"/>
        <v>154690.15326625071</v>
      </c>
      <c r="K25" s="1107">
        <v>144624</v>
      </c>
      <c r="L25" s="1108">
        <f t="shared" si="3"/>
        <v>106.9602232452779</v>
      </c>
      <c r="M25" s="1109">
        <f t="shared" si="4"/>
        <v>10066.153266250709</v>
      </c>
    </row>
    <row r="26" spans="1:16" x14ac:dyDescent="0.2">
      <c r="A26" s="1100" t="s">
        <v>273</v>
      </c>
      <c r="B26" s="1101">
        <f t="shared" si="2"/>
        <v>110245.66950199945</v>
      </c>
      <c r="C26" s="1102">
        <f>[5]PVk!W12</f>
        <v>18120.893862504978</v>
      </c>
      <c r="D26" s="1103">
        <f>B8+(B9/2)</f>
        <v>10832.507</v>
      </c>
      <c r="E26" s="1103">
        <v>0</v>
      </c>
      <c r="F26" s="1093">
        <f>'[5]Institucionální podpora'!F21</f>
        <v>13494.240328721155</v>
      </c>
      <c r="G26" s="1104">
        <f>'[5]Podíl na P1'!J14*(-1)</f>
        <v>-26207.141985516886</v>
      </c>
      <c r="H26" s="1105">
        <f>0-359-1</f>
        <v>-360</v>
      </c>
      <c r="I26" s="1104">
        <f>(-1)*'[5]Podíl na P1'!M14</f>
        <v>-1833.9094024991837</v>
      </c>
      <c r="J26" s="1106">
        <f t="shared" si="1"/>
        <v>124292.25930520953</v>
      </c>
      <c r="K26" s="1107">
        <v>118544</v>
      </c>
      <c r="L26" s="1108">
        <f t="shared" si="3"/>
        <v>104.84905124275335</v>
      </c>
      <c r="M26" s="1109">
        <f t="shared" si="4"/>
        <v>5748.2593052095326</v>
      </c>
    </row>
    <row r="27" spans="1:16" x14ac:dyDescent="0.2">
      <c r="A27" s="1100" t="s">
        <v>274</v>
      </c>
      <c r="B27" s="1101">
        <f t="shared" si="2"/>
        <v>48020.729520000001</v>
      </c>
      <c r="C27" s="1102">
        <f>[5]PVk!W13</f>
        <v>17490.061112262967</v>
      </c>
      <c r="D27" s="1103">
        <v>0</v>
      </c>
      <c r="E27" s="1103">
        <f>B11</f>
        <v>5632.2049999999999</v>
      </c>
      <c r="F27" s="1093">
        <f>'[5]Institucionální podpora'!F22</f>
        <v>726.68016526198448</v>
      </c>
      <c r="G27" s="1104">
        <f>'[5]Podíl na P1'!J15*(-1)</f>
        <v>-12143.808347669736</v>
      </c>
      <c r="H27" s="1105">
        <f>-1-60-0</f>
        <v>-61</v>
      </c>
      <c r="I27" s="1104">
        <f>(-1)*'[5]Podíl na P1'!M15</f>
        <v>-1140.3033516036442</v>
      </c>
      <c r="J27" s="1106">
        <f t="shared" si="1"/>
        <v>58524.564098251583</v>
      </c>
      <c r="K27" s="1107">
        <v>55350</v>
      </c>
      <c r="L27" s="1108">
        <f t="shared" si="3"/>
        <v>105.73543649187278</v>
      </c>
      <c r="M27" s="1109">
        <f t="shared" si="4"/>
        <v>3174.5640982515833</v>
      </c>
    </row>
    <row r="28" spans="1:16" x14ac:dyDescent="0.2">
      <c r="A28" s="1100" t="s">
        <v>275</v>
      </c>
      <c r="B28" s="1101">
        <f>$B$5*B49</f>
        <v>0</v>
      </c>
      <c r="C28" s="1102">
        <f>IF($E$12="Varianta 1",[5]PVk!W14,[5]PVk!Y14)</f>
        <v>0</v>
      </c>
      <c r="D28" s="1103">
        <v>0</v>
      </c>
      <c r="E28" s="1103">
        <v>0</v>
      </c>
      <c r="F28" s="1093">
        <f>'[5]Institucionální podpora'!F23</f>
        <v>31157.143043290562</v>
      </c>
      <c r="G28" s="1104">
        <f>'[5]Podíl na P1'!J16*(-1)</f>
        <v>-5224.0586416451606</v>
      </c>
      <c r="H28" s="1105">
        <f>0-122-0</f>
        <v>-122</v>
      </c>
      <c r="I28" s="1104">
        <f>(-1)*'[5]Podíl na P1'!M16</f>
        <v>-139.81392750281813</v>
      </c>
      <c r="J28" s="1106">
        <f t="shared" si="1"/>
        <v>25671.27047414258</v>
      </c>
      <c r="K28" s="1107">
        <v>23393</v>
      </c>
      <c r="L28" s="1108">
        <f t="shared" si="3"/>
        <v>109.73911201702467</v>
      </c>
      <c r="M28" s="1109">
        <f t="shared" si="4"/>
        <v>2278.2704741425805</v>
      </c>
    </row>
    <row r="29" spans="1:16" x14ac:dyDescent="0.2">
      <c r="A29" s="1100" t="s">
        <v>276</v>
      </c>
      <c r="B29" s="1101"/>
      <c r="C29" s="1102"/>
      <c r="D29" s="1110"/>
      <c r="E29" s="1110"/>
      <c r="F29" s="1110"/>
      <c r="G29" s="1104"/>
      <c r="H29" s="1105"/>
      <c r="I29" s="1104"/>
      <c r="J29" s="1106">
        <f t="shared" si="1"/>
        <v>0</v>
      </c>
      <c r="K29" s="1107">
        <v>0</v>
      </c>
      <c r="L29" s="1108"/>
      <c r="M29" s="1109"/>
      <c r="N29" s="605"/>
      <c r="O29" s="1111"/>
      <c r="P29" s="1112"/>
    </row>
    <row r="30" spans="1:16" s="1115" customFormat="1" x14ac:dyDescent="0.2">
      <c r="A30" s="1100" t="s">
        <v>277</v>
      </c>
      <c r="B30" s="1101"/>
      <c r="C30" s="1102"/>
      <c r="D30" s="1113"/>
      <c r="E30" s="1113"/>
      <c r="F30" s="1114"/>
      <c r="G30" s="1104">
        <f>'[5]Podíl na P1'!B31+'[5]Podíl na P1'!B32</f>
        <v>96615</v>
      </c>
      <c r="H30" s="1105"/>
      <c r="I30" s="1104"/>
      <c r="J30" s="1106">
        <f t="shared" si="1"/>
        <v>96615</v>
      </c>
      <c r="K30" s="1107">
        <v>91058</v>
      </c>
      <c r="L30" s="1108">
        <f>J30/K30*100</f>
        <v>106.10270377122274</v>
      </c>
      <c r="M30" s="1109">
        <f t="shared" si="4"/>
        <v>5557</v>
      </c>
      <c r="N30" s="622"/>
    </row>
    <row r="31" spans="1:16" s="1115" customFormat="1" x14ac:dyDescent="0.2">
      <c r="A31" s="1100" t="s">
        <v>278</v>
      </c>
      <c r="B31" s="1101"/>
      <c r="C31" s="1102"/>
      <c r="D31" s="1113"/>
      <c r="E31" s="1113"/>
      <c r="F31" s="1113"/>
      <c r="G31" s="1104">
        <f>'[5]Podíl na P1'!B30</f>
        <v>40008</v>
      </c>
      <c r="H31" s="1105"/>
      <c r="I31" s="1104"/>
      <c r="J31" s="1106">
        <f t="shared" si="1"/>
        <v>40008</v>
      </c>
      <c r="K31" s="1107">
        <v>35460</v>
      </c>
      <c r="L31" s="1108">
        <f>J31/K31*100</f>
        <v>112.82571912013537</v>
      </c>
      <c r="M31" s="1109">
        <f t="shared" si="4"/>
        <v>4548</v>
      </c>
      <c r="N31" s="622"/>
    </row>
    <row r="32" spans="1:16" x14ac:dyDescent="0.2">
      <c r="A32" s="1100" t="s">
        <v>246</v>
      </c>
      <c r="B32" s="1101"/>
      <c r="C32" s="1101"/>
      <c r="D32" s="1103"/>
      <c r="E32" s="1103"/>
      <c r="F32" s="1103"/>
      <c r="G32" s="1116"/>
      <c r="H32" s="1105">
        <f>-SUM(H22:H28)</f>
        <v>2910</v>
      </c>
      <c r="I32" s="1104">
        <f>-SUM(I22:I31)</f>
        <v>10000</v>
      </c>
      <c r="J32" s="1106">
        <f>SUM(B32:I32)</f>
        <v>12910</v>
      </c>
      <c r="K32" s="1107">
        <v>13923</v>
      </c>
      <c r="L32" s="1108">
        <f>J32/K32*100</f>
        <v>92.724269194857428</v>
      </c>
      <c r="M32" s="1109">
        <f>J32-K32</f>
        <v>-1013</v>
      </c>
      <c r="N32" s="605"/>
    </row>
    <row r="33" spans="1:14" ht="13.5" thickBot="1" x14ac:dyDescent="0.25">
      <c r="A33" s="1117" t="s">
        <v>347</v>
      </c>
      <c r="B33" s="1118">
        <f>(D50+E50)*(-1)</f>
        <v>9209.5460807844647</v>
      </c>
      <c r="C33" s="1119"/>
      <c r="D33" s="1120"/>
      <c r="E33" s="1120"/>
      <c r="F33" s="1120"/>
      <c r="G33" s="1121">
        <f>'[5]Podíl na P1'!J21*(-1)</f>
        <v>-1542.3154507621416</v>
      </c>
      <c r="H33" s="1122"/>
      <c r="I33" s="1121"/>
      <c r="J33" s="1123">
        <f>SUM(B33:I33)</f>
        <v>7667.2306300223227</v>
      </c>
      <c r="K33" s="1124"/>
      <c r="L33" s="1125"/>
      <c r="M33" s="1126"/>
      <c r="N33" s="605" t="s">
        <v>348</v>
      </c>
    </row>
    <row r="34" spans="1:14" ht="14.25" thickTop="1" thickBot="1" x14ac:dyDescent="0.25">
      <c r="A34" s="1127" t="s">
        <v>17</v>
      </c>
      <c r="B34" s="1128">
        <f>SUM(B22:B33)</f>
        <v>480207.29519999999</v>
      </c>
      <c r="C34" s="1129">
        <f>SUM(C22:C32)</f>
        <v>120051.82380000001</v>
      </c>
      <c r="D34" s="1130">
        <f>SUM(D22:D32)</f>
        <v>50080.914000000004</v>
      </c>
      <c r="E34" s="1130">
        <f>SUM(E22:E32)</f>
        <v>5632.2049999999999</v>
      </c>
      <c r="F34" s="1130">
        <f>SUM(F22:F32)</f>
        <v>141166.40299999999</v>
      </c>
      <c r="G34" s="1131">
        <f>SUM(G22:G33)</f>
        <v>-5.0022208597511053E-12</v>
      </c>
      <c r="H34" s="1131">
        <f>SUM(H22:H32)</f>
        <v>0</v>
      </c>
      <c r="I34" s="1131">
        <f>SUM(I22:I32)</f>
        <v>0</v>
      </c>
      <c r="J34" s="1132">
        <f>SUM(J22:J33)</f>
        <v>797138.64100000018</v>
      </c>
      <c r="K34" s="1133">
        <f>SUM(K22:K32)</f>
        <v>726152</v>
      </c>
      <c r="L34" s="1134">
        <f>J34/K34*100</f>
        <v>109.77572753362934</v>
      </c>
      <c r="M34" s="1135">
        <f>SUM(M22:M32)</f>
        <v>63319.410369977719</v>
      </c>
    </row>
    <row r="35" spans="1:14" x14ac:dyDescent="0.2">
      <c r="C35" s="1136"/>
      <c r="D35" s="1136"/>
      <c r="E35" s="1136"/>
      <c r="F35" s="1136"/>
      <c r="G35" s="1043"/>
      <c r="H35" s="1043"/>
      <c r="I35" s="1137"/>
      <c r="J35" s="1138"/>
      <c r="K35" s="1137"/>
      <c r="L35" s="1137"/>
      <c r="M35" s="1137"/>
    </row>
    <row r="36" spans="1:14" ht="15.75" x14ac:dyDescent="0.2">
      <c r="C36" s="1136"/>
      <c r="D36" s="1136"/>
      <c r="E36" s="1136"/>
      <c r="F36" s="1136"/>
      <c r="G36" s="1487"/>
      <c r="H36" s="1487"/>
      <c r="I36" s="1487"/>
      <c r="J36" s="1487"/>
      <c r="K36" s="1137"/>
      <c r="L36" s="1139"/>
      <c r="M36" s="1137"/>
    </row>
    <row r="37" spans="1:14" ht="13.35" customHeight="1" thickBot="1" x14ac:dyDescent="0.25">
      <c r="A37" s="1140" t="s">
        <v>280</v>
      </c>
      <c r="G37" s="1141"/>
      <c r="H37" s="1141"/>
      <c r="I37" s="1141"/>
      <c r="J37" s="1141"/>
      <c r="K37" s="1139"/>
      <c r="L37" s="1137"/>
      <c r="M37" s="1139"/>
    </row>
    <row r="38" spans="1:14" ht="13.35" customHeight="1" x14ac:dyDescent="0.2">
      <c r="A38" s="1142" t="s">
        <v>281</v>
      </c>
      <c r="B38" s="1143" t="s">
        <v>282</v>
      </c>
      <c r="C38" s="1143" t="s">
        <v>283</v>
      </c>
      <c r="D38" s="1488" t="s">
        <v>349</v>
      </c>
      <c r="E38" s="1488" t="s">
        <v>350</v>
      </c>
      <c r="F38" s="1491" t="s">
        <v>351</v>
      </c>
      <c r="G38" s="1486"/>
      <c r="H38" s="1486"/>
      <c r="I38" s="1486"/>
      <c r="J38" s="1486"/>
      <c r="K38" s="1486"/>
      <c r="L38" s="1486"/>
    </row>
    <row r="39" spans="1:14" x14ac:dyDescent="0.2">
      <c r="A39" s="1144"/>
      <c r="B39" s="1145" t="s">
        <v>285</v>
      </c>
      <c r="C39" s="1145" t="s">
        <v>286</v>
      </c>
      <c r="D39" s="1489"/>
      <c r="E39" s="1489"/>
      <c r="F39" s="1492"/>
      <c r="G39" s="1486"/>
      <c r="H39" s="1486"/>
      <c r="I39" s="1486"/>
      <c r="J39" s="1486"/>
      <c r="K39" s="1486"/>
      <c r="L39" s="1486"/>
    </row>
    <row r="40" spans="1:14" x14ac:dyDescent="0.2">
      <c r="A40" s="1144"/>
      <c r="B40" s="1145" t="s">
        <v>287</v>
      </c>
      <c r="C40" s="1145" t="s">
        <v>258</v>
      </c>
      <c r="D40" s="1489"/>
      <c r="E40" s="1489"/>
      <c r="F40" s="1492"/>
      <c r="G40" s="1146"/>
      <c r="H40" s="1147"/>
      <c r="I40" s="1146"/>
      <c r="J40" s="1148"/>
      <c r="K40" s="1147"/>
      <c r="L40" s="1147"/>
    </row>
    <row r="41" spans="1:14" x14ac:dyDescent="0.2">
      <c r="A41" s="1144"/>
      <c r="B41" s="1145" t="s">
        <v>288</v>
      </c>
      <c r="C41" s="1144" t="s">
        <v>265</v>
      </c>
      <c r="D41" s="1489"/>
      <c r="E41" s="1489"/>
      <c r="F41" s="1492"/>
      <c r="G41" s="1147"/>
      <c r="H41" s="1147"/>
      <c r="I41" s="1146"/>
      <c r="J41" s="1148"/>
      <c r="K41" s="1147"/>
      <c r="L41" s="1147"/>
    </row>
    <row r="42" spans="1:14" ht="13.5" thickBot="1" x14ac:dyDescent="0.25">
      <c r="A42" s="1149"/>
      <c r="B42" s="1145" t="s">
        <v>352</v>
      </c>
      <c r="C42" s="1150">
        <v>2022</v>
      </c>
      <c r="D42" s="1490"/>
      <c r="E42" s="1490"/>
      <c r="F42" s="1493"/>
      <c r="G42" s="1147"/>
      <c r="H42" s="1147"/>
      <c r="I42" s="1146"/>
      <c r="J42" s="1148"/>
      <c r="K42" s="1147"/>
      <c r="L42" s="1147"/>
    </row>
    <row r="43" spans="1:14" x14ac:dyDescent="0.2">
      <c r="A43" s="1151" t="s">
        <v>269</v>
      </c>
      <c r="B43" s="1152">
        <v>0.223</v>
      </c>
      <c r="C43" s="1153">
        <f>ROUND(B43*C50,1000)</f>
        <v>107086.2268296</v>
      </c>
      <c r="D43" s="1154"/>
      <c r="E43" s="1154">
        <f>[5]Studenti_KEN!K41+[5]Studenti_KEN!L41+[5]Studenti_KEN!M41</f>
        <v>-3926.3447820043489</v>
      </c>
      <c r="F43" s="1155">
        <f>C43+E43+D43</f>
        <v>103159.88204759565</v>
      </c>
      <c r="G43" s="1147"/>
      <c r="H43" s="1147"/>
      <c r="I43" s="1146"/>
      <c r="J43" s="1148"/>
      <c r="K43" s="1147"/>
      <c r="L43" s="1147"/>
    </row>
    <row r="44" spans="1:14" x14ac:dyDescent="0.2">
      <c r="A44" s="1156" t="s">
        <v>270</v>
      </c>
      <c r="B44" s="1157">
        <v>4.8000000000000001E-2</v>
      </c>
      <c r="C44" s="1158">
        <f>ROUND(B44*C50,1000)</f>
        <v>23049.950169600001</v>
      </c>
      <c r="D44" s="1159"/>
      <c r="E44" s="1159">
        <f>[5]Studenti_KEN!K42+[5]Studenti_KEN!L42+[5]Studenti_KEN!M42</f>
        <v>0</v>
      </c>
      <c r="F44" s="1160">
        <f t="shared" ref="F44:F49" si="5">C44+E44+D44</f>
        <v>23049.950169600001</v>
      </c>
      <c r="G44" s="1147"/>
      <c r="H44" s="1147"/>
      <c r="I44" s="1146"/>
      <c r="J44" s="1148"/>
      <c r="K44" s="1147"/>
      <c r="L44" s="1147"/>
    </row>
    <row r="45" spans="1:14" x14ac:dyDescent="0.2">
      <c r="A45" s="1156" t="s">
        <v>271</v>
      </c>
      <c r="B45" s="1157">
        <v>0.17199999999999999</v>
      </c>
      <c r="C45" s="1158">
        <f>ROUND(B45*C50,1000)</f>
        <v>82595.654774399998</v>
      </c>
      <c r="D45" s="1159"/>
      <c r="E45" s="1159">
        <f>[5]Studenti_KEN!K43+[5]Studenti_KEN!L43+[5]Studenti_KEN!M43</f>
        <v>-4675.4689076844779</v>
      </c>
      <c r="F45" s="1160">
        <f t="shared" si="5"/>
        <v>77920.185866715517</v>
      </c>
      <c r="G45" s="1147"/>
      <c r="H45" s="1147"/>
      <c r="I45" s="1146"/>
      <c r="J45" s="1148"/>
      <c r="K45" s="1147"/>
      <c r="L45" s="1147"/>
    </row>
    <row r="46" spans="1:14" x14ac:dyDescent="0.2">
      <c r="A46" s="1156" t="s">
        <v>272</v>
      </c>
      <c r="B46" s="1157">
        <v>0.22700000000000001</v>
      </c>
      <c r="C46" s="1158">
        <f>ROUND(B46*C50,1000)</f>
        <v>109007.0560104</v>
      </c>
      <c r="D46" s="1159"/>
      <c r="E46" s="1159">
        <f>[5]Studenti_KEN!K44+[5]Studenti_KEN!L44+[5]Studenti_KEN!M44</f>
        <v>-405.72399709509483</v>
      </c>
      <c r="F46" s="1160">
        <f t="shared" si="5"/>
        <v>108601.33201330491</v>
      </c>
      <c r="G46" s="1147"/>
      <c r="H46" s="1147"/>
      <c r="I46" s="1146"/>
      <c r="J46" s="1148"/>
      <c r="K46" s="1147"/>
      <c r="L46" s="1147"/>
    </row>
    <row r="47" spans="1:14" x14ac:dyDescent="0.2">
      <c r="A47" s="1156" t="s">
        <v>273</v>
      </c>
      <c r="B47" s="1157">
        <v>0.23</v>
      </c>
      <c r="C47" s="1158">
        <f>ROUND(B47*C50,1000)</f>
        <v>110447.67789599999</v>
      </c>
      <c r="D47" s="1159">
        <f>[5]Mezifakultní_výuka!B32/1000*(-1)</f>
        <v>-202.00839400054451</v>
      </c>
      <c r="E47" s="1159">
        <f>[5]Studenti_KEN!K45+[5]Studenti_KEN!L45+[5]Studenti_KEN!M45</f>
        <v>0</v>
      </c>
      <c r="F47" s="1160">
        <f t="shared" si="5"/>
        <v>110245.66950199945</v>
      </c>
      <c r="G47" s="1139"/>
      <c r="H47" s="1139"/>
      <c r="I47" s="1139"/>
      <c r="J47" s="1139"/>
      <c r="K47" s="1139"/>
      <c r="L47" s="1139"/>
    </row>
    <row r="48" spans="1:14" x14ac:dyDescent="0.2">
      <c r="A48" s="1156" t="s">
        <v>274</v>
      </c>
      <c r="B48" s="1157">
        <v>0.1</v>
      </c>
      <c r="C48" s="1158">
        <f>ROUND(B48*C50,1000)</f>
        <v>48020.729520000001</v>
      </c>
      <c r="D48" s="1159"/>
      <c r="E48" s="1159">
        <f>[5]Studenti_KEN!K46+[5]Studenti_KEN!L46+[5]Studenti_KEN!M46</f>
        <v>0</v>
      </c>
      <c r="F48" s="1160">
        <f t="shared" si="5"/>
        <v>48020.729520000001</v>
      </c>
      <c r="G48" s="1161"/>
      <c r="H48" s="1161"/>
      <c r="I48" s="1139"/>
      <c r="J48" s="1139"/>
      <c r="K48" s="1161"/>
      <c r="L48" s="1161"/>
    </row>
    <row r="49" spans="1:13" ht="13.5" thickBot="1" x14ac:dyDescent="0.25">
      <c r="A49" s="1162" t="s">
        <v>275</v>
      </c>
      <c r="B49" s="1163">
        <v>0</v>
      </c>
      <c r="C49" s="1164">
        <f>ROUND(B49*C51,1000)</f>
        <v>0</v>
      </c>
      <c r="D49" s="1165"/>
      <c r="E49" s="1165">
        <f>[5]Studenti_KEN!K47+[5]Studenti_KEN!L47+[5]Studenti_KEN!M47</f>
        <v>0</v>
      </c>
      <c r="F49" s="1166">
        <f t="shared" si="5"/>
        <v>0</v>
      </c>
      <c r="G49" s="1137"/>
      <c r="H49" s="1167"/>
      <c r="I49" s="1139"/>
      <c r="J49" s="1139"/>
      <c r="K49" s="1139"/>
      <c r="L49" s="1139"/>
    </row>
    <row r="50" spans="1:13" ht="13.5" thickBot="1" x14ac:dyDescent="0.25">
      <c r="A50" s="1168" t="s">
        <v>17</v>
      </c>
      <c r="B50" s="1169">
        <f>SUM(B43:B49)</f>
        <v>1</v>
      </c>
      <c r="C50" s="1170">
        <f>E5</f>
        <v>480207.29520000005</v>
      </c>
      <c r="D50" s="1170">
        <f t="shared" ref="D50:E50" si="6">SUM(D43:D49)</f>
        <v>-202.00839400054451</v>
      </c>
      <c r="E50" s="1170">
        <f t="shared" si="6"/>
        <v>-9007.5376867839204</v>
      </c>
      <c r="F50" s="1171">
        <f>SUM(F43:F49)</f>
        <v>470997.74911921553</v>
      </c>
      <c r="G50" s="1172"/>
      <c r="H50" s="1172"/>
      <c r="I50" s="1137"/>
      <c r="J50" s="1137"/>
      <c r="K50" s="1173"/>
      <c r="L50" s="1174"/>
    </row>
    <row r="51" spans="1:13" x14ac:dyDescent="0.2">
      <c r="A51" s="1175"/>
      <c r="B51" s="1175"/>
      <c r="C51" s="1175"/>
      <c r="D51" s="1175"/>
      <c r="E51" s="1175"/>
      <c r="F51" s="1175"/>
      <c r="G51" s="1172"/>
      <c r="H51" s="1172"/>
      <c r="I51" s="1172"/>
      <c r="J51" s="1172"/>
      <c r="K51" s="1137"/>
      <c r="L51" s="1173"/>
      <c r="M51" s="1174"/>
    </row>
    <row r="52" spans="1:13" x14ac:dyDescent="0.2">
      <c r="A52" s="1175"/>
      <c r="B52" s="1175"/>
      <c r="C52" s="1175"/>
      <c r="D52" s="1175"/>
      <c r="E52" s="1175"/>
      <c r="F52" s="1175"/>
      <c r="G52" s="1175"/>
      <c r="H52" s="1175"/>
      <c r="I52" s="1175"/>
      <c r="J52" s="1175"/>
      <c r="L52" s="1176"/>
      <c r="M52" s="1177"/>
    </row>
    <row r="53" spans="1:13" x14ac:dyDescent="0.2">
      <c r="A53" s="1175"/>
      <c r="B53" s="1175"/>
      <c r="C53" s="1175"/>
      <c r="D53" s="1175"/>
      <c r="E53" s="1175"/>
      <c r="F53" s="1175"/>
      <c r="G53" s="1175"/>
      <c r="H53" s="1175"/>
      <c r="I53" s="1175"/>
      <c r="J53" s="1175"/>
      <c r="L53" s="1176"/>
      <c r="M53" s="1177"/>
    </row>
    <row r="54" spans="1:13" x14ac:dyDescent="0.2">
      <c r="A54" s="1175"/>
      <c r="B54" s="1178"/>
      <c r="C54" s="1178"/>
      <c r="D54" s="1178"/>
      <c r="E54" s="1175"/>
      <c r="F54" s="1175"/>
      <c r="G54" s="1175"/>
      <c r="H54" s="1175"/>
      <c r="I54" s="1175"/>
      <c r="J54" s="1175"/>
      <c r="L54" s="1176"/>
      <c r="M54" s="1177"/>
    </row>
    <row r="55" spans="1:13" x14ac:dyDescent="0.2">
      <c r="A55" s="1179"/>
      <c r="B55" s="677"/>
      <c r="C55" s="677"/>
      <c r="D55" s="1180"/>
      <c r="E55" s="1181"/>
      <c r="F55" s="1181"/>
      <c r="G55" s="1181"/>
      <c r="H55" s="1181"/>
      <c r="I55" s="1175"/>
      <c r="J55" s="1175"/>
      <c r="L55" s="1176"/>
      <c r="M55" s="1177"/>
    </row>
    <row r="56" spans="1:13" s="999" customFormat="1" x14ac:dyDescent="0.2">
      <c r="A56" s="1182"/>
      <c r="B56" s="681"/>
      <c r="C56" s="681"/>
      <c r="D56" s="1183"/>
      <c r="E56" s="1184"/>
      <c r="F56" s="1184"/>
      <c r="G56" s="1184"/>
      <c r="H56" s="1184"/>
      <c r="I56" s="1184"/>
      <c r="J56" s="1184"/>
      <c r="L56" s="1176"/>
      <c r="M56" s="1177"/>
    </row>
    <row r="57" spans="1:13" x14ac:dyDescent="0.2">
      <c r="A57" s="1175"/>
      <c r="C57" s="1175"/>
      <c r="D57" s="1175"/>
      <c r="E57" s="1175"/>
      <c r="F57" s="1175"/>
      <c r="G57" s="1175"/>
      <c r="H57" s="1175"/>
      <c r="I57" s="1175"/>
      <c r="J57" s="1175"/>
    </row>
    <row r="58" spans="1:13" x14ac:dyDescent="0.2">
      <c r="A58" s="1175"/>
      <c r="B58" s="1175"/>
      <c r="C58" s="1175"/>
      <c r="D58" s="1175"/>
      <c r="E58" s="1175"/>
      <c r="F58" s="1175"/>
      <c r="G58" s="1175"/>
      <c r="H58" s="1175"/>
      <c r="I58" s="1175"/>
      <c r="J58" s="1175"/>
    </row>
    <row r="59" spans="1:13" x14ac:dyDescent="0.2">
      <c r="A59" s="1175"/>
      <c r="B59" s="1175"/>
      <c r="C59" s="1175"/>
      <c r="D59" s="1175"/>
      <c r="E59" s="1175"/>
      <c r="F59" s="1175"/>
      <c r="G59" s="1175"/>
      <c r="H59" s="1175"/>
      <c r="I59" s="1175"/>
      <c r="J59" s="1175"/>
    </row>
    <row r="60" spans="1:13" x14ac:dyDescent="0.2">
      <c r="A60" s="1175"/>
      <c r="B60" s="1175"/>
      <c r="C60" s="1175"/>
      <c r="D60" s="1175"/>
      <c r="E60" s="1175"/>
      <c r="F60" s="1175"/>
      <c r="G60" s="1175"/>
      <c r="H60" s="1175"/>
      <c r="I60" s="1175"/>
      <c r="J60" s="1175"/>
    </row>
    <row r="61" spans="1:13" x14ac:dyDescent="0.2">
      <c r="A61" s="1175"/>
      <c r="B61" s="1175"/>
      <c r="C61" s="1175"/>
      <c r="D61" s="1175"/>
      <c r="E61" s="1175"/>
      <c r="F61" s="1175"/>
      <c r="G61" s="1175"/>
      <c r="H61" s="1175"/>
      <c r="I61" s="1175"/>
      <c r="J61" s="1175"/>
    </row>
    <row r="62" spans="1:13" x14ac:dyDescent="0.2">
      <c r="A62" s="1175"/>
      <c r="B62" s="1175"/>
      <c r="C62" s="1175"/>
      <c r="D62" s="1175"/>
      <c r="E62" s="1175"/>
      <c r="F62" s="1175"/>
      <c r="G62" s="1175"/>
      <c r="H62" s="1175"/>
      <c r="I62" s="1175"/>
      <c r="J62" s="1175"/>
    </row>
    <row r="63" spans="1:13" x14ac:dyDescent="0.2">
      <c r="A63" s="1175"/>
      <c r="B63" s="1175"/>
      <c r="C63" s="1175"/>
      <c r="D63" s="1175"/>
      <c r="E63" s="1175"/>
      <c r="F63" s="1175"/>
      <c r="G63" s="1175"/>
      <c r="H63" s="1175"/>
      <c r="I63" s="1175"/>
      <c r="J63" s="1175"/>
    </row>
    <row r="64" spans="1:13" x14ac:dyDescent="0.2">
      <c r="A64" s="1175"/>
      <c r="B64" s="1175"/>
      <c r="C64" s="1175"/>
      <c r="D64" s="1175"/>
      <c r="E64" s="1175"/>
      <c r="F64" s="1175"/>
      <c r="G64" s="1175"/>
      <c r="H64" s="1175"/>
      <c r="I64" s="1175"/>
      <c r="J64" s="1175"/>
    </row>
    <row r="65" spans="1:10" x14ac:dyDescent="0.2">
      <c r="A65" s="1175"/>
      <c r="B65" s="1175"/>
      <c r="C65" s="1175"/>
      <c r="D65" s="1175"/>
      <c r="E65" s="1175"/>
      <c r="F65" s="1175"/>
      <c r="G65" s="1175"/>
      <c r="H65" s="1175"/>
      <c r="I65" s="1175"/>
      <c r="J65" s="1175"/>
    </row>
    <row r="66" spans="1:10" x14ac:dyDescent="0.2">
      <c r="A66" s="1175"/>
      <c r="B66" s="1175"/>
      <c r="C66" s="1175"/>
      <c r="D66" s="1175"/>
      <c r="E66" s="1175"/>
      <c r="F66" s="1175"/>
      <c r="G66" s="1175"/>
      <c r="H66" s="1175"/>
      <c r="I66" s="1175"/>
      <c r="J66" s="1175"/>
    </row>
    <row r="67" spans="1:10" x14ac:dyDescent="0.2">
      <c r="A67" s="1175"/>
      <c r="B67" s="1175"/>
      <c r="C67" s="1175"/>
      <c r="D67" s="1175"/>
      <c r="E67" s="1175"/>
      <c r="F67" s="1175"/>
      <c r="G67" s="1175"/>
      <c r="H67" s="1175"/>
      <c r="I67" s="1175"/>
      <c r="J67" s="1175"/>
    </row>
    <row r="68" spans="1:10" x14ac:dyDescent="0.2">
      <c r="A68" s="1175"/>
      <c r="B68" s="1175"/>
      <c r="C68" s="1175"/>
      <c r="D68" s="1175"/>
      <c r="E68" s="1175"/>
      <c r="F68" s="1175"/>
      <c r="G68" s="1175"/>
      <c r="H68" s="1175"/>
      <c r="I68" s="1175"/>
      <c r="J68" s="1175"/>
    </row>
    <row r="69" spans="1:10" x14ac:dyDescent="0.2">
      <c r="A69" s="1175"/>
      <c r="B69" s="1175"/>
      <c r="C69" s="1175"/>
      <c r="D69" s="1175"/>
      <c r="E69" s="1175"/>
      <c r="F69" s="1175"/>
      <c r="G69" s="1175"/>
      <c r="H69" s="1175"/>
      <c r="I69" s="1175"/>
      <c r="J69" s="1175"/>
    </row>
    <row r="70" spans="1:10" x14ac:dyDescent="0.2">
      <c r="A70" s="1175"/>
      <c r="B70" s="1175"/>
      <c r="C70" s="1175"/>
      <c r="D70" s="1175"/>
      <c r="E70" s="1175"/>
      <c r="F70" s="1175"/>
      <c r="G70" s="1175"/>
      <c r="H70" s="1175"/>
      <c r="I70" s="1175"/>
      <c r="J70" s="1175"/>
    </row>
    <row r="71" spans="1:10" x14ac:dyDescent="0.2">
      <c r="A71" s="1175"/>
      <c r="B71" s="1175"/>
      <c r="C71" s="1175"/>
      <c r="D71" s="1175"/>
      <c r="E71" s="1175"/>
      <c r="F71" s="1175"/>
      <c r="G71" s="1175"/>
      <c r="H71" s="1175"/>
      <c r="I71" s="1175"/>
      <c r="J71" s="1175"/>
    </row>
    <row r="72" spans="1:10" x14ac:dyDescent="0.2">
      <c r="A72" s="1175"/>
      <c r="B72" s="1175"/>
      <c r="C72" s="1175"/>
      <c r="D72" s="1175"/>
      <c r="E72" s="1175"/>
      <c r="F72" s="1175"/>
      <c r="G72" s="1175"/>
      <c r="H72" s="1175"/>
      <c r="I72" s="1175"/>
      <c r="J72" s="1175"/>
    </row>
    <row r="73" spans="1:10" x14ac:dyDescent="0.2">
      <c r="A73" s="1175"/>
      <c r="B73" s="1175"/>
      <c r="C73" s="1175"/>
      <c r="D73" s="1175"/>
      <c r="E73" s="1175"/>
      <c r="F73" s="1175"/>
      <c r="G73" s="1175"/>
      <c r="H73" s="1175"/>
      <c r="I73" s="1175"/>
      <c r="J73" s="1175"/>
    </row>
    <row r="74" spans="1:10" x14ac:dyDescent="0.2">
      <c r="A74" s="1175"/>
      <c r="B74" s="1175"/>
      <c r="C74" s="1175"/>
      <c r="D74" s="1175"/>
      <c r="E74" s="1175"/>
      <c r="F74" s="1175"/>
      <c r="G74" s="1175"/>
      <c r="H74" s="1175"/>
      <c r="I74" s="1175"/>
      <c r="J74" s="1175"/>
    </row>
    <row r="75" spans="1:10" x14ac:dyDescent="0.2">
      <c r="A75" s="1175"/>
      <c r="B75" s="1175"/>
      <c r="C75" s="1175"/>
      <c r="D75" s="1175"/>
      <c r="E75" s="1175"/>
      <c r="F75" s="1175"/>
      <c r="G75" s="1175"/>
      <c r="H75" s="1175"/>
      <c r="I75" s="1175"/>
      <c r="J75" s="1175"/>
    </row>
    <row r="76" spans="1:10" x14ac:dyDescent="0.2">
      <c r="A76" s="1175"/>
      <c r="B76" s="1175"/>
      <c r="C76" s="1175"/>
      <c r="D76" s="1175"/>
      <c r="E76" s="1175"/>
      <c r="F76" s="1175"/>
      <c r="G76" s="1175"/>
      <c r="H76" s="1175"/>
      <c r="I76" s="1175"/>
      <c r="J76" s="1175"/>
    </row>
    <row r="77" spans="1:10" x14ac:dyDescent="0.2">
      <c r="A77" s="1175"/>
      <c r="B77" s="1175"/>
      <c r="C77" s="1175"/>
      <c r="D77" s="1175"/>
      <c r="E77" s="1175"/>
      <c r="F77" s="1175"/>
      <c r="G77" s="1175"/>
      <c r="H77" s="1175"/>
      <c r="I77" s="1175"/>
      <c r="J77" s="1175"/>
    </row>
    <row r="78" spans="1:10" x14ac:dyDescent="0.2">
      <c r="A78" s="1175"/>
      <c r="B78" s="1175"/>
      <c r="C78" s="1175"/>
      <c r="D78" s="1175"/>
      <c r="E78" s="1175"/>
      <c r="F78" s="1175"/>
      <c r="G78" s="1175"/>
      <c r="H78" s="1175"/>
      <c r="I78" s="1175"/>
      <c r="J78" s="1175"/>
    </row>
    <row r="79" spans="1:10" x14ac:dyDescent="0.2">
      <c r="A79" s="1175"/>
      <c r="B79" s="1175"/>
      <c r="C79" s="1175"/>
      <c r="D79" s="1175"/>
      <c r="E79" s="1175"/>
      <c r="F79" s="1175"/>
      <c r="G79" s="1175"/>
      <c r="H79" s="1175"/>
      <c r="I79" s="1175"/>
      <c r="J79" s="1175"/>
    </row>
    <row r="80" spans="1:10" x14ac:dyDescent="0.2">
      <c r="D80" s="1175"/>
      <c r="E80" s="1175"/>
      <c r="F80" s="1175"/>
      <c r="G80" s="1175"/>
      <c r="H80" s="1175"/>
      <c r="I80" s="1175"/>
      <c r="J80" s="1175"/>
    </row>
    <row r="81" spans="4:10" x14ac:dyDescent="0.2">
      <c r="D81" s="1175"/>
      <c r="E81" s="1175"/>
      <c r="F81" s="1175"/>
      <c r="G81" s="1175"/>
      <c r="H81" s="1175"/>
      <c r="I81" s="1175"/>
      <c r="J81" s="1175"/>
    </row>
    <row r="82" spans="4:10" x14ac:dyDescent="0.2">
      <c r="D82" s="1175"/>
      <c r="E82" s="1175"/>
      <c r="F82" s="1175"/>
      <c r="G82" s="1175"/>
      <c r="H82" s="1175"/>
      <c r="I82" s="1175"/>
      <c r="J82" s="1175"/>
    </row>
  </sheetData>
  <mergeCells count="10">
    <mergeCell ref="K38:K39"/>
    <mergeCell ref="L38:L39"/>
    <mergeCell ref="G36:J36"/>
    <mergeCell ref="D38:D42"/>
    <mergeCell ref="E38:E42"/>
    <mergeCell ref="F38:F42"/>
    <mergeCell ref="G38:G39"/>
    <mergeCell ref="H38:H39"/>
    <mergeCell ref="I38:I39"/>
    <mergeCell ref="J38:J39"/>
  </mergeCells>
  <conditionalFormatting sqref="I40:I46">
    <cfRule type="colorScale" priority="1">
      <colorScale>
        <cfvo type="min"/>
        <cfvo type="num" val="0"/>
        <cfvo type="max"/>
        <color rgb="FFFF0000"/>
        <color theme="0"/>
        <color rgb="FF00B050"/>
      </colorScale>
    </cfRule>
    <cfRule type="colorScale" priority="2">
      <colorScale>
        <cfvo type="min"/>
        <cfvo type="percentile" val="50"/>
        <cfvo type="max"/>
        <color rgb="FFF8696B"/>
        <color rgb="FFFFEB84"/>
        <color rgb="FF63BE7B"/>
      </colorScale>
    </cfRule>
  </conditionalFormatting>
  <pageMargins left="0.59055118110236227" right="0" top="0.59055118110236227" bottom="0.78740157480314965" header="0.51181102362204722" footer="0.51181102362204722"/>
  <pageSetup paperSize="9" scale="56" orientation="landscape" horizontalDpi="4294967295" r:id="rId1"/>
  <headerFooter alignWithMargins="0">
    <oddFooter>&amp;Lstr. &amp;P z &amp;N&amp;Rsoubor &amp;F; list &amp;A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84D81-D95D-4C7E-994F-65561B7C4848}">
  <sheetPr>
    <tabColor rgb="FF00B050"/>
    <pageSetUpPr fitToPage="1"/>
  </sheetPr>
  <dimension ref="A1:Z83"/>
  <sheetViews>
    <sheetView zoomScaleNormal="100" zoomScalePageLayoutView="130" workbookViewId="0">
      <selection activeCell="N36" sqref="N36"/>
    </sheetView>
  </sheetViews>
  <sheetFormatPr defaultColWidth="8.5703125" defaultRowHeight="12.75" x14ac:dyDescent="0.2"/>
  <cols>
    <col min="1" max="1" width="49.42578125" style="712" bestFit="1" customWidth="1"/>
    <col min="2" max="2" width="16.5703125" style="711" bestFit="1" customWidth="1"/>
    <col min="3" max="3" width="14.5703125" style="711" bestFit="1" customWidth="1"/>
    <col min="4" max="4" width="16.140625" style="711" customWidth="1"/>
    <col min="5" max="6" width="11.5703125" style="711" customWidth="1"/>
    <col min="7" max="9" width="11.5703125" style="712" customWidth="1"/>
    <col min="10" max="10" width="15.5703125" style="712" customWidth="1"/>
    <col min="11" max="11" width="11.5703125" style="712" customWidth="1"/>
    <col min="12" max="12" width="13.42578125" style="712" customWidth="1"/>
    <col min="13" max="13" width="13.140625" style="712" customWidth="1"/>
    <col min="14" max="16384" width="8.5703125" style="712"/>
  </cols>
  <sheetData>
    <row r="1" spans="1:26" ht="25.5" customHeight="1" x14ac:dyDescent="0.4">
      <c r="A1" s="708" t="s">
        <v>212</v>
      </c>
      <c r="B1" s="709">
        <v>2021</v>
      </c>
      <c r="C1" s="710" t="s">
        <v>213</v>
      </c>
      <c r="G1" s="711"/>
      <c r="H1" s="711"/>
      <c r="I1" s="711"/>
    </row>
    <row r="2" spans="1:26" ht="13.35" customHeight="1" x14ac:dyDescent="0.4">
      <c r="A2" s="708"/>
      <c r="B2" s="713"/>
      <c r="D2" s="710"/>
      <c r="G2" s="711"/>
      <c r="H2" s="711"/>
      <c r="I2" s="711"/>
    </row>
    <row r="3" spans="1:26" ht="13.35" customHeight="1" thickBot="1" x14ac:dyDescent="0.25">
      <c r="A3" s="3" t="s">
        <v>214</v>
      </c>
    </row>
    <row r="4" spans="1:26" ht="13.35" customHeight="1" thickBot="1" x14ac:dyDescent="0.25">
      <c r="A4" s="714" t="s">
        <v>215</v>
      </c>
      <c r="B4" s="715" t="s">
        <v>216</v>
      </c>
      <c r="C4" s="716"/>
      <c r="D4" s="717" t="s">
        <v>217</v>
      </c>
      <c r="E4" s="718" t="s">
        <v>216</v>
      </c>
      <c r="F4" s="718" t="s">
        <v>218</v>
      </c>
      <c r="H4" s="719" t="s">
        <v>219</v>
      </c>
      <c r="I4" s="720"/>
      <c r="J4" s="721"/>
      <c r="K4" s="722" t="s">
        <v>220</v>
      </c>
      <c r="L4" s="723" t="s">
        <v>216</v>
      </c>
      <c r="M4" s="724"/>
    </row>
    <row r="5" spans="1:26" ht="13.35" customHeight="1" x14ac:dyDescent="0.3">
      <c r="A5" s="725" t="s">
        <v>221</v>
      </c>
      <c r="B5" s="726">
        <f>(485052698+86173580)/1000</f>
        <v>571226.27800000005</v>
      </c>
      <c r="C5" s="727"/>
      <c r="D5" s="728" t="s">
        <v>222</v>
      </c>
      <c r="E5" s="729">
        <f>F5*(B5+B6)</f>
        <v>457690.21040000004</v>
      </c>
      <c r="F5" s="730">
        <v>0.8</v>
      </c>
      <c r="G5" s="731"/>
      <c r="H5" s="732" t="s">
        <v>223</v>
      </c>
      <c r="I5" s="733"/>
      <c r="J5" s="734"/>
      <c r="K5" s="735">
        <f>[6]PVk!AC5*100</f>
        <v>30</v>
      </c>
      <c r="L5" s="736">
        <f>ROUND(E$6*K5/100,0)</f>
        <v>34327</v>
      </c>
      <c r="M5" s="724"/>
    </row>
    <row r="6" spans="1:26" ht="13.35" customHeight="1" thickBot="1" x14ac:dyDescent="0.35">
      <c r="A6" s="737" t="s">
        <v>313</v>
      </c>
      <c r="B6" s="738">
        <f>886485/1000</f>
        <v>886.48500000000001</v>
      </c>
      <c r="C6" s="727"/>
      <c r="D6" s="739" t="s">
        <v>225</v>
      </c>
      <c r="E6" s="740">
        <f>F6*(B5+B6)</f>
        <v>114422.55260000001</v>
      </c>
      <c r="F6" s="741">
        <v>0.2</v>
      </c>
      <c r="G6" s="742"/>
      <c r="H6" s="743" t="s">
        <v>226</v>
      </c>
      <c r="I6" s="744"/>
      <c r="J6" s="745"/>
      <c r="K6" s="746">
        <f>[6]PVk!AC6*100</f>
        <v>8</v>
      </c>
      <c r="L6" s="747">
        <f t="shared" ref="L6:L12" si="0">ROUND(E$6*K6/100,0)</f>
        <v>9154</v>
      </c>
      <c r="M6" s="724"/>
    </row>
    <row r="7" spans="1:26" ht="13.35" customHeight="1" thickBot="1" x14ac:dyDescent="0.25">
      <c r="A7" s="748" t="s">
        <v>227</v>
      </c>
      <c r="B7" s="749">
        <v>0</v>
      </c>
      <c r="C7" s="727"/>
      <c r="D7" s="750" t="s">
        <v>228</v>
      </c>
      <c r="E7" s="751">
        <f>SUM(E5:E6)</f>
        <v>572112.76300000004</v>
      </c>
      <c r="F7" s="752">
        <f>SUM(F5:F6)</f>
        <v>1</v>
      </c>
      <c r="G7" s="753"/>
      <c r="H7" s="743" t="s">
        <v>229</v>
      </c>
      <c r="I7" s="744"/>
      <c r="J7" s="745"/>
      <c r="K7" s="746">
        <f>[6]PVk!AC7*100</f>
        <v>5</v>
      </c>
      <c r="L7" s="747">
        <f t="shared" si="0"/>
        <v>5721</v>
      </c>
      <c r="M7" s="724"/>
      <c r="Q7" s="754"/>
      <c r="T7" s="755"/>
      <c r="V7" s="755"/>
      <c r="X7" s="755"/>
      <c r="Z7" s="755"/>
    </row>
    <row r="8" spans="1:26" ht="13.35" customHeight="1" x14ac:dyDescent="0.2">
      <c r="A8" s="748" t="s">
        <v>230</v>
      </c>
      <c r="B8" s="756">
        <f>9004189/1000</f>
        <v>9004.1890000000003</v>
      </c>
      <c r="C8" s="727"/>
      <c r="D8" s="757"/>
      <c r="E8" s="758"/>
      <c r="F8" s="759"/>
      <c r="G8" s="760"/>
      <c r="H8" s="743" t="s">
        <v>314</v>
      </c>
      <c r="I8" s="744"/>
      <c r="J8" s="745"/>
      <c r="K8" s="746">
        <f>[6]PVk!AC4*100</f>
        <v>7.0000000000000009</v>
      </c>
      <c r="L8" s="747">
        <f t="shared" si="0"/>
        <v>8010</v>
      </c>
      <c r="M8" s="724"/>
    </row>
    <row r="9" spans="1:26" ht="13.35" customHeight="1" x14ac:dyDescent="0.2">
      <c r="A9" s="748" t="s">
        <v>232</v>
      </c>
      <c r="B9" s="761">
        <f>6302710/1000</f>
        <v>6302.71</v>
      </c>
      <c r="C9" s="727"/>
      <c r="H9" s="743" t="s">
        <v>233</v>
      </c>
      <c r="I9" s="744"/>
      <c r="J9" s="745"/>
      <c r="K9" s="746">
        <f>[6]PVk!AC10*100</f>
        <v>0</v>
      </c>
      <c r="L9" s="747">
        <f t="shared" si="0"/>
        <v>0</v>
      </c>
      <c r="M9" s="724"/>
    </row>
    <row r="10" spans="1:26" ht="13.35" customHeight="1" x14ac:dyDescent="0.2">
      <c r="A10" s="762" t="s">
        <v>315</v>
      </c>
      <c r="B10" s="761">
        <f>4110080/1000</f>
        <v>4110.08</v>
      </c>
      <c r="C10" s="727"/>
      <c r="D10" s="3"/>
      <c r="E10" s="3"/>
      <c r="F10" s="3"/>
      <c r="G10" s="763"/>
      <c r="H10" s="743" t="s">
        <v>235</v>
      </c>
      <c r="I10" s="764"/>
      <c r="J10" s="745"/>
      <c r="K10" s="746">
        <f>[6]PVk!AC12*100</f>
        <v>10</v>
      </c>
      <c r="L10" s="747">
        <f t="shared" si="0"/>
        <v>11442</v>
      </c>
      <c r="M10" s="724"/>
    </row>
    <row r="11" spans="1:26" ht="13.35" customHeight="1" x14ac:dyDescent="0.2">
      <c r="A11" s="737" t="s">
        <v>234</v>
      </c>
      <c r="B11" s="738">
        <f>5622408/1000</f>
        <v>5622.4080000000004</v>
      </c>
      <c r="C11" s="727"/>
      <c r="D11" s="3"/>
      <c r="E11" s="3"/>
      <c r="F11" s="3"/>
      <c r="G11" s="763"/>
      <c r="H11" s="743" t="s">
        <v>237</v>
      </c>
      <c r="I11" s="744"/>
      <c r="J11" s="745"/>
      <c r="K11" s="746">
        <f>[6]PVk!AC13*100</f>
        <v>40</v>
      </c>
      <c r="L11" s="747">
        <f t="shared" si="0"/>
        <v>45769</v>
      </c>
      <c r="M11" s="724"/>
    </row>
    <row r="12" spans="1:26" ht="13.35" customHeight="1" thickBot="1" x14ac:dyDescent="0.25">
      <c r="A12" s="737" t="s">
        <v>236</v>
      </c>
      <c r="B12" s="761">
        <f>'[6]Institucionální podpora'!B9</f>
        <v>129000</v>
      </c>
      <c r="C12" s="727"/>
      <c r="D12" s="3"/>
      <c r="E12" s="3"/>
      <c r="F12" s="3"/>
      <c r="G12" s="763"/>
      <c r="H12" s="765" t="s">
        <v>238</v>
      </c>
      <c r="I12" s="766"/>
      <c r="J12" s="767"/>
      <c r="K12" s="768">
        <f>[6]PVk!AC9*100</f>
        <v>0</v>
      </c>
      <c r="L12" s="769">
        <f t="shared" si="0"/>
        <v>0</v>
      </c>
      <c r="M12" s="724"/>
    </row>
    <row r="13" spans="1:26" ht="13.35" customHeight="1" thickBot="1" x14ac:dyDescent="0.25">
      <c r="A13" s="770"/>
      <c r="B13" s="771"/>
      <c r="C13" s="727"/>
      <c r="D13" s="3"/>
      <c r="E13" s="3"/>
      <c r="F13" s="3"/>
      <c r="H13" s="719" t="s">
        <v>17</v>
      </c>
      <c r="I13" s="720"/>
      <c r="J13" s="720"/>
      <c r="K13" s="722">
        <f>SUM(K5:K12)</f>
        <v>100</v>
      </c>
      <c r="L13" s="772">
        <f>SUM(L5:L12)</f>
        <v>114423</v>
      </c>
      <c r="M13" s="724"/>
    </row>
    <row r="14" spans="1:26" s="3" customFormat="1" ht="13.35" customHeight="1" thickBot="1" x14ac:dyDescent="0.25">
      <c r="A14" s="773" t="s">
        <v>17</v>
      </c>
      <c r="B14" s="774">
        <f>SUM(B5:B13)</f>
        <v>726152.15</v>
      </c>
      <c r="C14" s="727"/>
      <c r="H14" s="724"/>
      <c r="I14" s="724"/>
      <c r="J14" s="724"/>
      <c r="K14" s="724"/>
      <c r="L14" s="724"/>
      <c r="M14" s="724"/>
    </row>
    <row r="15" spans="1:26" x14ac:dyDescent="0.2">
      <c r="A15" s="710"/>
    </row>
    <row r="16" spans="1:26" ht="12.75" customHeight="1" thickBot="1" x14ac:dyDescent="0.25">
      <c r="A16" s="775" t="s">
        <v>239</v>
      </c>
      <c r="C16" s="776"/>
      <c r="M16" s="759"/>
    </row>
    <row r="17" spans="1:14" ht="13.5" customHeight="1" x14ac:dyDescent="0.2">
      <c r="A17" s="777"/>
      <c r="B17" s="778" t="s">
        <v>240</v>
      </c>
      <c r="C17" s="779" t="s">
        <v>240</v>
      </c>
      <c r="D17" s="779" t="s">
        <v>241</v>
      </c>
      <c r="E17" s="779" t="s">
        <v>242</v>
      </c>
      <c r="F17" s="779" t="s">
        <v>243</v>
      </c>
      <c r="G17" s="780" t="s">
        <v>244</v>
      </c>
      <c r="H17" s="780" t="s">
        <v>245</v>
      </c>
      <c r="I17" s="780" t="s">
        <v>246</v>
      </c>
      <c r="J17" s="781" t="s">
        <v>17</v>
      </c>
      <c r="K17" s="782" t="s">
        <v>239</v>
      </c>
      <c r="L17" s="783" t="s">
        <v>80</v>
      </c>
      <c r="M17" s="783" t="s">
        <v>80</v>
      </c>
    </row>
    <row r="18" spans="1:14" ht="15.75" x14ac:dyDescent="0.25">
      <c r="A18" s="784" t="s">
        <v>316</v>
      </c>
      <c r="B18" s="785" t="s">
        <v>248</v>
      </c>
      <c r="C18" s="786" t="s">
        <v>248</v>
      </c>
      <c r="D18" s="786" t="s">
        <v>249</v>
      </c>
      <c r="E18" s="786" t="s">
        <v>250</v>
      </c>
      <c r="F18" s="786" t="s">
        <v>251</v>
      </c>
      <c r="G18" s="787" t="s">
        <v>252</v>
      </c>
      <c r="H18" s="787" t="s">
        <v>253</v>
      </c>
      <c r="I18" s="787" t="s">
        <v>254</v>
      </c>
      <c r="J18" s="788" t="s">
        <v>239</v>
      </c>
      <c r="K18" s="789" t="s">
        <v>255</v>
      </c>
      <c r="L18" s="790" t="s">
        <v>256</v>
      </c>
      <c r="M18" s="790" t="s">
        <v>256</v>
      </c>
    </row>
    <row r="19" spans="1:14" ht="15.75" x14ac:dyDescent="0.25">
      <c r="A19" s="784" t="s">
        <v>257</v>
      </c>
      <c r="B19" s="785" t="s">
        <v>258</v>
      </c>
      <c r="C19" s="786" t="s">
        <v>258</v>
      </c>
      <c r="D19" s="786" t="s">
        <v>259</v>
      </c>
      <c r="E19" s="786" t="s">
        <v>258</v>
      </c>
      <c r="F19" s="786" t="s">
        <v>260</v>
      </c>
      <c r="G19" s="787"/>
      <c r="H19" s="787" t="s">
        <v>261</v>
      </c>
      <c r="I19" s="787" t="s">
        <v>262</v>
      </c>
      <c r="J19" s="788" t="s">
        <v>255</v>
      </c>
      <c r="K19" s="791"/>
      <c r="L19" s="790" t="s">
        <v>263</v>
      </c>
      <c r="M19" s="790" t="s">
        <v>263</v>
      </c>
    </row>
    <row r="20" spans="1:14" ht="12.75" customHeight="1" x14ac:dyDescent="0.2">
      <c r="A20" s="792" t="s">
        <v>264</v>
      </c>
      <c r="B20" s="785" t="s">
        <v>265</v>
      </c>
      <c r="C20" s="786" t="s">
        <v>266</v>
      </c>
      <c r="D20" s="793"/>
      <c r="E20" s="793"/>
      <c r="F20" s="793"/>
      <c r="G20" s="787"/>
      <c r="H20" s="787" t="s">
        <v>267</v>
      </c>
      <c r="I20" s="787"/>
      <c r="J20" s="788"/>
      <c r="K20" s="791"/>
      <c r="L20" s="794">
        <f>K21</f>
        <v>2020</v>
      </c>
      <c r="M20" s="794">
        <f>K21</f>
        <v>2020</v>
      </c>
    </row>
    <row r="21" spans="1:14" s="802" customFormat="1" ht="13.5" thickBot="1" x14ac:dyDescent="0.25">
      <c r="A21" s="795"/>
      <c r="B21" s="796">
        <f>B1</f>
        <v>2021</v>
      </c>
      <c r="C21" s="796">
        <f>B1</f>
        <v>2021</v>
      </c>
      <c r="D21" s="797">
        <f>B1</f>
        <v>2021</v>
      </c>
      <c r="E21" s="796">
        <f>B1</f>
        <v>2021</v>
      </c>
      <c r="F21" s="798">
        <f>B1</f>
        <v>2021</v>
      </c>
      <c r="G21" s="799"/>
      <c r="H21" s="787"/>
      <c r="I21" s="787"/>
      <c r="J21" s="800">
        <v>2021</v>
      </c>
      <c r="K21" s="801">
        <v>2020</v>
      </c>
      <c r="L21" s="794" t="s">
        <v>317</v>
      </c>
      <c r="M21" s="794" t="s">
        <v>318</v>
      </c>
    </row>
    <row r="22" spans="1:14" x14ac:dyDescent="0.2">
      <c r="A22" s="803" t="s">
        <v>269</v>
      </c>
      <c r="B22" s="804">
        <f>C44</f>
        <v>102064.9169192</v>
      </c>
      <c r="C22" s="805">
        <f>[6]PVk!W8</f>
        <v>14096.848232213502</v>
      </c>
      <c r="D22" s="806">
        <f>B7</f>
        <v>0</v>
      </c>
      <c r="E22" s="807">
        <v>0</v>
      </c>
      <c r="F22" s="807">
        <f>'[6]Institucionální podpora'!G26</f>
        <v>15549.660993305613</v>
      </c>
      <c r="G22" s="808">
        <f>'[6]Podíl na P1'!J10*(-1)</f>
        <v>-22862.860544376857</v>
      </c>
      <c r="H22" s="809">
        <f>-4-2120-4</f>
        <v>-2128</v>
      </c>
      <c r="I22" s="808">
        <f>(-1)*'[6]Podíl na P1'!M10</f>
        <v>-2200.8319406299124</v>
      </c>
      <c r="J22" s="810">
        <f t="shared" ref="J22:J33" si="1">SUM(B22:I22)</f>
        <v>104519.73365971235</v>
      </c>
      <c r="K22" s="811">
        <v>117640.73811359968</v>
      </c>
      <c r="L22" s="812">
        <f>J22/K22*100</f>
        <v>88.846546983395285</v>
      </c>
      <c r="M22" s="813">
        <f>J22-K22</f>
        <v>-13121.004453887334</v>
      </c>
    </row>
    <row r="23" spans="1:14" x14ac:dyDescent="0.2">
      <c r="A23" s="814" t="s">
        <v>270</v>
      </c>
      <c r="B23" s="815">
        <f>C45</f>
        <v>21969.1300992</v>
      </c>
      <c r="C23" s="816">
        <f>[6]PVk!W9</f>
        <v>3810.3951985626118</v>
      </c>
      <c r="D23" s="817">
        <v>0</v>
      </c>
      <c r="E23" s="817">
        <v>0</v>
      </c>
      <c r="F23" s="817">
        <f>'[6]Institucionální podpora'!G24</f>
        <v>2721.939875556101</v>
      </c>
      <c r="G23" s="818">
        <f>'[6]Podíl na P1'!J11*(-1)</f>
        <v>-5028.7124691190074</v>
      </c>
      <c r="H23" s="819">
        <f>0-10-0</f>
        <v>-10</v>
      </c>
      <c r="I23" s="818">
        <f>(-1)*'[6]Podíl na P1'!M11</f>
        <v>-364.54145144797036</v>
      </c>
      <c r="J23" s="820">
        <f t="shared" si="1"/>
        <v>23098.211252751735</v>
      </c>
      <c r="K23" s="821">
        <v>20713.791212912849</v>
      </c>
      <c r="L23" s="822">
        <f t="shared" ref="L23:L28" si="2">J23/K23*100</f>
        <v>111.51126809829218</v>
      </c>
      <c r="M23" s="823">
        <f t="shared" ref="M23:M31" si="3">J23-K23</f>
        <v>2384.4200398388857</v>
      </c>
    </row>
    <row r="24" spans="1:14" x14ac:dyDescent="0.2">
      <c r="A24" s="814" t="s">
        <v>271</v>
      </c>
      <c r="B24" s="815">
        <f t="shared" ref="B24:B27" si="4">C46</f>
        <v>78722.716188799997</v>
      </c>
      <c r="C24" s="816">
        <f>[6]PVk!W10</f>
        <v>31273.064834199227</v>
      </c>
      <c r="D24" s="817">
        <f>B9/4</f>
        <v>1575.6775</v>
      </c>
      <c r="E24" s="817">
        <v>0</v>
      </c>
      <c r="F24" s="817">
        <f>'[6]Institucionální podpora'!G23</f>
        <v>31327.836268139887</v>
      </c>
      <c r="G24" s="818">
        <f>'[6]Podíl na P1'!J12*(-1)</f>
        <v>-24913.46649575526</v>
      </c>
      <c r="H24" s="819">
        <f>0-35-0</f>
        <v>-35</v>
      </c>
      <c r="I24" s="818">
        <f>(-1)*'[6]Podíl na P1'!M12</f>
        <v>-1768.9463190795348</v>
      </c>
      <c r="J24" s="820">
        <f t="shared" si="1"/>
        <v>116181.88197630434</v>
      </c>
      <c r="K24" s="821">
        <v>117182.29155934737</v>
      </c>
      <c r="L24" s="822">
        <f t="shared" si="2"/>
        <v>99.14627921187531</v>
      </c>
      <c r="M24" s="823">
        <f t="shared" si="3"/>
        <v>-1000.4095830430306</v>
      </c>
    </row>
    <row r="25" spans="1:14" x14ac:dyDescent="0.2">
      <c r="A25" s="814" t="s">
        <v>272</v>
      </c>
      <c r="B25" s="815">
        <f t="shared" si="4"/>
        <v>103895.6777608</v>
      </c>
      <c r="C25" s="816">
        <f>[6]PVk!W11</f>
        <v>32325.943872262429</v>
      </c>
      <c r="D25" s="817">
        <f>B9/4+B10</f>
        <v>5685.7574999999997</v>
      </c>
      <c r="E25" s="817">
        <v>0</v>
      </c>
      <c r="F25" s="817">
        <f>'[6]Institucionální podpora'!G28</f>
        <v>37515.944697452942</v>
      </c>
      <c r="G25" s="818">
        <f>'[6]Podíl na P1'!J13*(-1)</f>
        <v>-31390.049542716311</v>
      </c>
      <c r="H25" s="819">
        <f>2-833-24</f>
        <v>-855</v>
      </c>
      <c r="I25" s="818">
        <f>(-1)*'[6]Podíl na P1'!M13</f>
        <v>-2553.8331974858011</v>
      </c>
      <c r="J25" s="820">
        <f t="shared" si="1"/>
        <v>144624.44109031328</v>
      </c>
      <c r="K25" s="821">
        <v>140514.48167413563</v>
      </c>
      <c r="L25" s="822">
        <f t="shared" si="2"/>
        <v>102.92493653836263</v>
      </c>
      <c r="M25" s="823">
        <f t="shared" si="3"/>
        <v>4109.9594161776477</v>
      </c>
    </row>
    <row r="26" spans="1:14" x14ac:dyDescent="0.2">
      <c r="A26" s="814" t="s">
        <v>273</v>
      </c>
      <c r="B26" s="815">
        <f t="shared" si="4"/>
        <v>105268.74839199999</v>
      </c>
      <c r="C26" s="816">
        <f>[6]PVk!W12</f>
        <v>16683.90190407911</v>
      </c>
      <c r="D26" s="817">
        <f>B8+(B9/2)</f>
        <v>12155.544</v>
      </c>
      <c r="E26" s="817">
        <v>0</v>
      </c>
      <c r="F26" s="817">
        <f>'[6]Institucionální podpora'!G27</f>
        <v>12582.373942135117</v>
      </c>
      <c r="G26" s="818">
        <f>'[6]Podíl na P1'!J14*(-1)</f>
        <v>-25692.741810790769</v>
      </c>
      <c r="H26" s="819">
        <f>0-618-3</f>
        <v>-621</v>
      </c>
      <c r="I26" s="818">
        <f>(-1)*'[6]Podíl na P1'!M14</f>
        <v>-1832.6258004431702</v>
      </c>
      <c r="J26" s="820">
        <f t="shared" si="1"/>
        <v>118544.20062698027</v>
      </c>
      <c r="K26" s="821">
        <v>121257.66949010068</v>
      </c>
      <c r="L26" s="822">
        <f t="shared" si="2"/>
        <v>97.762229082473056</v>
      </c>
      <c r="M26" s="823">
        <f t="shared" si="3"/>
        <v>-2713.468863120419</v>
      </c>
    </row>
    <row r="27" spans="1:14" x14ac:dyDescent="0.2">
      <c r="A27" s="814" t="s">
        <v>274</v>
      </c>
      <c r="B27" s="815">
        <f t="shared" si="4"/>
        <v>45769.02104</v>
      </c>
      <c r="C27" s="816">
        <f>[6]PVk!W13</f>
        <v>16232.398558683135</v>
      </c>
      <c r="D27" s="817">
        <v>0</v>
      </c>
      <c r="E27" s="817">
        <f>B11</f>
        <v>5622.4080000000004</v>
      </c>
      <c r="F27" s="817">
        <f>'[6]Institucionální podpora'!G25</f>
        <v>677.57512486257519</v>
      </c>
      <c r="G27" s="818">
        <f>'[6]Podíl na P1'!J15*(-1)</f>
        <v>-11712.10473875081</v>
      </c>
      <c r="H27" s="819">
        <f>-2-98-0</f>
        <v>-100</v>
      </c>
      <c r="I27" s="818">
        <f>(-1)*'[6]Podíl na P1'!M15</f>
        <v>-1139.5052229040461</v>
      </c>
      <c r="J27" s="820">
        <f t="shared" si="1"/>
        <v>55349.792761890851</v>
      </c>
      <c r="K27" s="821">
        <v>51607.56686459246</v>
      </c>
      <c r="L27" s="822">
        <f t="shared" si="2"/>
        <v>107.25131240369694</v>
      </c>
      <c r="M27" s="823">
        <f t="shared" si="3"/>
        <v>3742.2258972983909</v>
      </c>
    </row>
    <row r="28" spans="1:14" x14ac:dyDescent="0.2">
      <c r="A28" s="814" t="s">
        <v>275</v>
      </c>
      <c r="B28" s="815">
        <f>$B$5*B50</f>
        <v>0</v>
      </c>
      <c r="C28" s="816">
        <f>IF($E$12="Varianta 1",[6]PVk!W14,[6]PVk!Y14)</f>
        <v>0</v>
      </c>
      <c r="D28" s="817">
        <v>0</v>
      </c>
      <c r="E28" s="817">
        <v>0</v>
      </c>
      <c r="F28" s="817">
        <f>'[6]Institucionální podpora'!G29</f>
        <v>28624.669094478508</v>
      </c>
      <c r="G28" s="818">
        <f>'[6]Podíl na P1'!J16*(-1)</f>
        <v>-4918.0643984909821</v>
      </c>
      <c r="H28" s="819">
        <f>0-174-0</f>
        <v>-174</v>
      </c>
      <c r="I28" s="818">
        <f>(-1)*'[6]Podíl na P1'!M16</f>
        <v>-139.71606800956437</v>
      </c>
      <c r="J28" s="820">
        <f t="shared" si="1"/>
        <v>23392.888627977958</v>
      </c>
      <c r="K28" s="821">
        <v>25128.281085311341</v>
      </c>
      <c r="L28" s="822">
        <f t="shared" si="2"/>
        <v>93.09386721900448</v>
      </c>
      <c r="M28" s="823">
        <f t="shared" si="3"/>
        <v>-1735.3924573333825</v>
      </c>
    </row>
    <row r="29" spans="1:14" x14ac:dyDescent="0.2">
      <c r="A29" s="814" t="s">
        <v>276</v>
      </c>
      <c r="B29" s="815"/>
      <c r="C29" s="816"/>
      <c r="D29" s="824"/>
      <c r="E29" s="824"/>
      <c r="F29" s="824"/>
      <c r="G29" s="818"/>
      <c r="H29" s="819"/>
      <c r="I29" s="818"/>
      <c r="J29" s="820">
        <f t="shared" si="1"/>
        <v>0</v>
      </c>
      <c r="K29" s="821">
        <v>1253.18</v>
      </c>
      <c r="L29" s="822"/>
      <c r="M29" s="823"/>
      <c r="N29" s="605"/>
    </row>
    <row r="30" spans="1:14" s="405" customFormat="1" x14ac:dyDescent="0.2">
      <c r="A30" s="814" t="s">
        <v>277</v>
      </c>
      <c r="B30" s="815"/>
      <c r="C30" s="816"/>
      <c r="D30" s="825"/>
      <c r="E30" s="825"/>
      <c r="F30" s="826"/>
      <c r="G30" s="818">
        <f>'[6]Podíl na P1'!B30+'[6]Podíl na P1'!B31</f>
        <v>91058</v>
      </c>
      <c r="H30" s="819"/>
      <c r="I30" s="818"/>
      <c r="J30" s="820">
        <f t="shared" si="1"/>
        <v>91058</v>
      </c>
      <c r="K30" s="821">
        <v>88989</v>
      </c>
      <c r="L30" s="822">
        <f>J30/K30*100</f>
        <v>102.32500646147275</v>
      </c>
      <c r="M30" s="823">
        <f t="shared" si="3"/>
        <v>2069</v>
      </c>
      <c r="N30" s="622"/>
    </row>
    <row r="31" spans="1:14" s="405" customFormat="1" x14ac:dyDescent="0.2">
      <c r="A31" s="814" t="s">
        <v>278</v>
      </c>
      <c r="B31" s="815"/>
      <c r="C31" s="816"/>
      <c r="D31" s="825"/>
      <c r="E31" s="825"/>
      <c r="F31" s="825"/>
      <c r="G31" s="818">
        <f>'[6]Podíl na P1'!B29</f>
        <v>35460</v>
      </c>
      <c r="H31" s="819"/>
      <c r="I31" s="818"/>
      <c r="J31" s="820">
        <f t="shared" si="1"/>
        <v>35460</v>
      </c>
      <c r="K31" s="821">
        <v>35460</v>
      </c>
      <c r="L31" s="822">
        <f>J31/K31*100</f>
        <v>100</v>
      </c>
      <c r="M31" s="823">
        <f t="shared" si="3"/>
        <v>0</v>
      </c>
      <c r="N31" s="622"/>
    </row>
    <row r="32" spans="1:14" s="828" customFormat="1" x14ac:dyDescent="0.2">
      <c r="A32" s="814" t="s">
        <v>279</v>
      </c>
      <c r="B32" s="815"/>
      <c r="C32" s="815"/>
      <c r="D32" s="817"/>
      <c r="E32" s="817"/>
      <c r="F32" s="817"/>
      <c r="G32" s="827"/>
      <c r="H32" s="819"/>
      <c r="I32" s="818"/>
      <c r="J32" s="820">
        <f t="shared" si="1"/>
        <v>0</v>
      </c>
      <c r="K32" s="821">
        <v>128</v>
      </c>
      <c r="L32" s="822"/>
      <c r="M32" s="823"/>
      <c r="N32" s="627"/>
    </row>
    <row r="33" spans="1:14" ht="13.5" thickBot="1" x14ac:dyDescent="0.25">
      <c r="A33" s="829" t="s">
        <v>246</v>
      </c>
      <c r="B33" s="830"/>
      <c r="C33" s="831"/>
      <c r="D33" s="832"/>
      <c r="E33" s="832"/>
      <c r="F33" s="832"/>
      <c r="G33" s="833"/>
      <c r="H33" s="834">
        <f>-SUM(H22:H28)</f>
        <v>3923</v>
      </c>
      <c r="I33" s="833">
        <f>-SUM(I22:I32)</f>
        <v>10000</v>
      </c>
      <c r="J33" s="835">
        <f t="shared" si="1"/>
        <v>13923</v>
      </c>
      <c r="K33" s="836">
        <v>14684.999999999998</v>
      </c>
      <c r="L33" s="837">
        <f>J33/K33*100</f>
        <v>94.811031664964261</v>
      </c>
      <c r="M33" s="838">
        <f>J33-K33</f>
        <v>-761.99999999999818</v>
      </c>
      <c r="N33" s="605"/>
    </row>
    <row r="34" spans="1:14" ht="14.25" thickTop="1" thickBot="1" x14ac:dyDescent="0.25">
      <c r="A34" s="839" t="s">
        <v>17</v>
      </c>
      <c r="B34" s="840">
        <f>SUM(B22:B33)</f>
        <v>457690.21039999998</v>
      </c>
      <c r="C34" s="841">
        <f>SUM(C22:C33)</f>
        <v>114422.55260000002</v>
      </c>
      <c r="D34" s="842">
        <f t="shared" ref="D34:J34" si="5">SUM(D22:D33)</f>
        <v>19416.978999999999</v>
      </c>
      <c r="E34" s="842">
        <f t="shared" si="5"/>
        <v>5622.4080000000004</v>
      </c>
      <c r="F34" s="842">
        <f>SUM(F22:F33)</f>
        <v>128999.99999593075</v>
      </c>
      <c r="G34" s="843">
        <f t="shared" si="5"/>
        <v>0</v>
      </c>
      <c r="H34" s="843">
        <f t="shared" si="5"/>
        <v>0</v>
      </c>
      <c r="I34" s="843">
        <f t="shared" si="5"/>
        <v>0</v>
      </c>
      <c r="J34" s="844">
        <f t="shared" si="5"/>
        <v>726152.14999593073</v>
      </c>
      <c r="K34" s="845">
        <v>734560.00000000012</v>
      </c>
      <c r="L34" s="846">
        <f>J34/K34*100</f>
        <v>98.855389620443617</v>
      </c>
      <c r="M34" s="847">
        <f>SUM(M22:M33)</f>
        <v>-7026.6700040692394</v>
      </c>
    </row>
    <row r="35" spans="1:14" x14ac:dyDescent="0.2">
      <c r="C35" s="848"/>
      <c r="D35" s="848"/>
      <c r="E35" s="848"/>
      <c r="F35" s="848"/>
      <c r="G35" s="711"/>
      <c r="H35" s="711"/>
      <c r="J35" s="849"/>
    </row>
    <row r="36" spans="1:14" x14ac:dyDescent="0.2">
      <c r="C36" s="848"/>
      <c r="D36" s="848"/>
      <c r="E36" s="848"/>
      <c r="F36" s="848"/>
      <c r="G36" s="757"/>
      <c r="H36" s="757"/>
      <c r="I36" s="850"/>
      <c r="J36" s="851"/>
      <c r="K36" s="850"/>
      <c r="L36" s="850"/>
      <c r="M36" s="850"/>
    </row>
    <row r="37" spans="1:14" ht="15.75" x14ac:dyDescent="0.2">
      <c r="C37" s="848"/>
      <c r="D37" s="848"/>
      <c r="E37" s="848"/>
      <c r="F37" s="848"/>
      <c r="G37" s="1495"/>
      <c r="H37" s="1495"/>
      <c r="I37" s="1495"/>
      <c r="J37" s="1495"/>
      <c r="K37" s="850"/>
      <c r="L37" s="852"/>
      <c r="M37" s="850"/>
    </row>
    <row r="38" spans="1:14" ht="13.35" customHeight="1" thickBot="1" x14ac:dyDescent="0.25">
      <c r="A38" s="853" t="s">
        <v>280</v>
      </c>
      <c r="G38" s="854"/>
      <c r="H38" s="854"/>
      <c r="I38" s="854"/>
      <c r="J38" s="854"/>
      <c r="K38" s="852"/>
      <c r="L38" s="850"/>
      <c r="M38" s="852"/>
    </row>
    <row r="39" spans="1:14" ht="13.35" customHeight="1" x14ac:dyDescent="0.2">
      <c r="A39" s="855" t="s">
        <v>281</v>
      </c>
      <c r="B39" s="856" t="s">
        <v>282</v>
      </c>
      <c r="C39" s="856" t="s">
        <v>283</v>
      </c>
      <c r="D39" s="712"/>
      <c r="E39" s="712"/>
      <c r="F39" s="1496"/>
      <c r="G39" s="1494"/>
      <c r="H39" s="1494"/>
      <c r="I39" s="1494"/>
      <c r="J39" s="1494"/>
      <c r="K39" s="1494"/>
      <c r="L39" s="1494"/>
    </row>
    <row r="40" spans="1:14" x14ac:dyDescent="0.2">
      <c r="A40" s="857"/>
      <c r="B40" s="858" t="s">
        <v>285</v>
      </c>
      <c r="C40" s="858" t="s">
        <v>286</v>
      </c>
      <c r="D40" s="712"/>
      <c r="E40" s="712"/>
      <c r="F40" s="1496"/>
      <c r="G40" s="1494"/>
      <c r="H40" s="1494"/>
      <c r="I40" s="1494"/>
      <c r="J40" s="1494"/>
      <c r="K40" s="1494"/>
      <c r="L40" s="1494"/>
    </row>
    <row r="41" spans="1:14" x14ac:dyDescent="0.2">
      <c r="A41" s="857"/>
      <c r="B41" s="858" t="s">
        <v>287</v>
      </c>
      <c r="C41" s="858" t="s">
        <v>258</v>
      </c>
      <c r="D41" s="712"/>
      <c r="E41" s="712"/>
      <c r="F41" s="859"/>
      <c r="G41" s="860"/>
      <c r="H41" s="861"/>
      <c r="I41" s="860"/>
      <c r="J41" s="862"/>
      <c r="K41" s="861"/>
      <c r="L41" s="861"/>
    </row>
    <row r="42" spans="1:14" x14ac:dyDescent="0.2">
      <c r="A42" s="857"/>
      <c r="B42" s="858" t="s">
        <v>288</v>
      </c>
      <c r="C42" s="857" t="s">
        <v>265</v>
      </c>
      <c r="D42" s="712"/>
      <c r="E42" s="712"/>
      <c r="F42" s="859"/>
      <c r="G42" s="861"/>
      <c r="H42" s="861"/>
      <c r="I42" s="860"/>
      <c r="J42" s="862"/>
      <c r="K42" s="861"/>
      <c r="L42" s="861"/>
    </row>
    <row r="43" spans="1:14" ht="13.5" thickBot="1" x14ac:dyDescent="0.25">
      <c r="A43" s="863"/>
      <c r="B43" s="858" t="s">
        <v>319</v>
      </c>
      <c r="C43" s="864">
        <v>2021</v>
      </c>
      <c r="D43" s="712"/>
      <c r="E43" s="712"/>
      <c r="F43" s="859"/>
      <c r="G43" s="861"/>
      <c r="H43" s="861"/>
      <c r="I43" s="860"/>
      <c r="J43" s="862"/>
      <c r="K43" s="861"/>
      <c r="L43" s="861"/>
    </row>
    <row r="44" spans="1:14" x14ac:dyDescent="0.2">
      <c r="A44" s="865" t="s">
        <v>269</v>
      </c>
      <c r="B44" s="866">
        <v>0.223</v>
      </c>
      <c r="C44" s="867">
        <f>ROUND(B44*C51,1000)</f>
        <v>102064.9169192</v>
      </c>
      <c r="D44" s="712"/>
      <c r="E44" s="712"/>
      <c r="F44" s="859"/>
      <c r="G44" s="861"/>
      <c r="H44" s="861"/>
      <c r="I44" s="860"/>
      <c r="J44" s="862"/>
      <c r="K44" s="861"/>
      <c r="L44" s="861"/>
    </row>
    <row r="45" spans="1:14" x14ac:dyDescent="0.2">
      <c r="A45" s="868" t="s">
        <v>270</v>
      </c>
      <c r="B45" s="869">
        <v>4.8000000000000001E-2</v>
      </c>
      <c r="C45" s="870">
        <f>ROUND(B45*C51,1000)</f>
        <v>21969.1300992</v>
      </c>
      <c r="D45" s="712"/>
      <c r="E45" s="712"/>
      <c r="F45" s="859"/>
      <c r="G45" s="861"/>
      <c r="H45" s="861"/>
      <c r="I45" s="860"/>
      <c r="J45" s="862"/>
      <c r="K45" s="861"/>
      <c r="L45" s="861"/>
    </row>
    <row r="46" spans="1:14" x14ac:dyDescent="0.2">
      <c r="A46" s="868" t="s">
        <v>271</v>
      </c>
      <c r="B46" s="869">
        <v>0.17199999999999999</v>
      </c>
      <c r="C46" s="870">
        <f>ROUND(B46*C51,1000)</f>
        <v>78722.716188799997</v>
      </c>
      <c r="D46" s="712"/>
      <c r="E46" s="712"/>
      <c r="F46" s="859"/>
      <c r="G46" s="861"/>
      <c r="H46" s="861"/>
      <c r="I46" s="860"/>
      <c r="J46" s="862"/>
      <c r="K46" s="861"/>
      <c r="L46" s="861"/>
    </row>
    <row r="47" spans="1:14" x14ac:dyDescent="0.2">
      <c r="A47" s="868" t="s">
        <v>272</v>
      </c>
      <c r="B47" s="869">
        <v>0.22700000000000001</v>
      </c>
      <c r="C47" s="870">
        <f>ROUND(B47*C51,1000)</f>
        <v>103895.6777608</v>
      </c>
      <c r="D47" s="712"/>
      <c r="E47" s="712"/>
      <c r="F47" s="859"/>
      <c r="G47" s="861"/>
      <c r="H47" s="861"/>
      <c r="I47" s="860"/>
      <c r="J47" s="862"/>
      <c r="K47" s="861"/>
      <c r="L47" s="861"/>
    </row>
    <row r="48" spans="1:14" x14ac:dyDescent="0.2">
      <c r="A48" s="868" t="s">
        <v>273</v>
      </c>
      <c r="B48" s="869">
        <v>0.23</v>
      </c>
      <c r="C48" s="870">
        <f>ROUND(B48*C51,1000)</f>
        <v>105268.74839199999</v>
      </c>
      <c r="D48" s="712"/>
      <c r="E48" s="712"/>
      <c r="F48" s="859"/>
      <c r="G48" s="852"/>
      <c r="H48" s="852"/>
      <c r="I48" s="852"/>
      <c r="J48" s="852"/>
      <c r="K48" s="852"/>
      <c r="L48" s="852"/>
    </row>
    <row r="49" spans="1:13" x14ac:dyDescent="0.2">
      <c r="A49" s="868" t="s">
        <v>274</v>
      </c>
      <c r="B49" s="869">
        <v>0.1</v>
      </c>
      <c r="C49" s="870">
        <f>ROUND(B49*C51,1000)</f>
        <v>45769.02104</v>
      </c>
      <c r="D49" s="712"/>
      <c r="E49" s="712"/>
      <c r="F49" s="871"/>
      <c r="G49" s="872"/>
      <c r="H49" s="872"/>
      <c r="I49" s="852"/>
      <c r="J49" s="852"/>
      <c r="K49" s="872"/>
      <c r="L49" s="872"/>
    </row>
    <row r="50" spans="1:13" ht="13.5" thickBot="1" x14ac:dyDescent="0.25">
      <c r="A50" s="873" t="s">
        <v>275</v>
      </c>
      <c r="B50" s="874">
        <v>0</v>
      </c>
      <c r="C50" s="875">
        <f>ROUND(B50*C52,1000)</f>
        <v>0</v>
      </c>
      <c r="D50" s="712"/>
      <c r="E50" s="712"/>
      <c r="F50" s="850"/>
      <c r="G50" s="850"/>
      <c r="H50" s="859"/>
      <c r="I50" s="852"/>
      <c r="J50" s="852"/>
      <c r="K50" s="852"/>
      <c r="L50" s="852"/>
    </row>
    <row r="51" spans="1:13" ht="13.5" thickBot="1" x14ac:dyDescent="0.25">
      <c r="A51" s="876" t="s">
        <v>17</v>
      </c>
      <c r="B51" s="877">
        <f>SUM(B44:B50)</f>
        <v>1</v>
      </c>
      <c r="C51" s="878">
        <f>E5</f>
        <v>457690.21040000004</v>
      </c>
      <c r="D51" s="879"/>
      <c r="E51" s="879"/>
      <c r="F51" s="880"/>
      <c r="G51" s="880"/>
      <c r="H51" s="880"/>
      <c r="I51" s="850"/>
      <c r="J51" s="850"/>
      <c r="K51" s="881"/>
      <c r="L51" s="882"/>
    </row>
    <row r="52" spans="1:13" x14ac:dyDescent="0.2">
      <c r="A52" s="879"/>
      <c r="B52" s="879"/>
      <c r="C52" s="879"/>
      <c r="D52" s="879"/>
      <c r="E52" s="879"/>
      <c r="F52" s="879"/>
      <c r="G52" s="880"/>
      <c r="H52" s="880"/>
      <c r="I52" s="880"/>
      <c r="J52" s="880"/>
      <c r="K52" s="850"/>
      <c r="L52" s="881"/>
      <c r="M52" s="882"/>
    </row>
    <row r="53" spans="1:13" x14ac:dyDescent="0.2">
      <c r="A53" s="879"/>
      <c r="B53" s="879"/>
      <c r="C53" s="879"/>
      <c r="D53" s="879"/>
      <c r="E53" s="879"/>
      <c r="F53" s="879"/>
      <c r="G53" s="879"/>
      <c r="H53" s="879"/>
      <c r="I53" s="879"/>
      <c r="J53" s="879"/>
      <c r="L53" s="883"/>
      <c r="M53" s="884"/>
    </row>
    <row r="54" spans="1:13" x14ac:dyDescent="0.2">
      <c r="A54" s="879"/>
      <c r="B54" s="879"/>
      <c r="C54" s="879"/>
      <c r="D54" s="879"/>
      <c r="E54" s="879"/>
      <c r="F54" s="879"/>
      <c r="G54" s="879"/>
      <c r="H54" s="879"/>
      <c r="I54" s="879"/>
      <c r="J54" s="879"/>
      <c r="L54" s="883"/>
      <c r="M54" s="884"/>
    </row>
    <row r="55" spans="1:13" x14ac:dyDescent="0.2">
      <c r="A55" s="879"/>
      <c r="B55" s="118"/>
      <c r="C55" s="118"/>
      <c r="D55" s="118"/>
      <c r="E55" s="879"/>
      <c r="F55" s="879"/>
      <c r="G55" s="879"/>
      <c r="H55" s="879"/>
      <c r="I55" s="879"/>
      <c r="J55" s="879"/>
      <c r="L55" s="883"/>
      <c r="M55" s="884"/>
    </row>
    <row r="56" spans="1:13" x14ac:dyDescent="0.2">
      <c r="A56" s="885"/>
      <c r="B56" s="677"/>
      <c r="C56" s="677"/>
      <c r="D56" s="886"/>
      <c r="E56" s="75"/>
      <c r="F56" s="75"/>
      <c r="G56" s="75"/>
      <c r="H56" s="75"/>
      <c r="I56" s="879"/>
      <c r="J56" s="879"/>
      <c r="L56" s="883"/>
      <c r="M56" s="884"/>
    </row>
    <row r="57" spans="1:13" s="3" customFormat="1" x14ac:dyDescent="0.2">
      <c r="A57" s="887"/>
      <c r="B57" s="681"/>
      <c r="C57" s="681"/>
      <c r="D57" s="888"/>
      <c r="E57" s="889"/>
      <c r="F57" s="889"/>
      <c r="G57" s="889"/>
      <c r="H57" s="889"/>
      <c r="I57" s="889"/>
      <c r="J57" s="889"/>
      <c r="L57" s="883"/>
      <c r="M57" s="884"/>
    </row>
    <row r="58" spans="1:13" x14ac:dyDescent="0.2">
      <c r="A58" s="879"/>
      <c r="C58" s="879"/>
      <c r="D58" s="879"/>
      <c r="E58" s="879"/>
      <c r="F58" s="879"/>
      <c r="G58" s="879"/>
      <c r="H58" s="879"/>
      <c r="I58" s="879"/>
      <c r="J58" s="879"/>
    </row>
    <row r="59" spans="1:13" x14ac:dyDescent="0.2">
      <c r="A59" s="879"/>
      <c r="B59" s="879"/>
      <c r="C59" s="879"/>
      <c r="D59" s="879"/>
      <c r="E59" s="879"/>
      <c r="F59" s="879"/>
      <c r="G59" s="879"/>
      <c r="H59" s="879"/>
      <c r="I59" s="879"/>
      <c r="J59" s="879"/>
    </row>
    <row r="60" spans="1:13" x14ac:dyDescent="0.2">
      <c r="A60" s="879"/>
      <c r="B60" s="879"/>
      <c r="C60" s="879"/>
      <c r="D60" s="879"/>
      <c r="E60" s="879"/>
      <c r="F60" s="879"/>
      <c r="G60" s="879"/>
      <c r="H60" s="879"/>
      <c r="I60" s="879"/>
      <c r="J60" s="879"/>
    </row>
    <row r="61" spans="1:13" x14ac:dyDescent="0.2">
      <c r="A61" s="879"/>
      <c r="B61" s="879"/>
      <c r="C61" s="879"/>
      <c r="D61" s="879"/>
      <c r="E61" s="879"/>
      <c r="F61" s="879"/>
      <c r="G61" s="879"/>
      <c r="H61" s="879"/>
      <c r="I61" s="879"/>
      <c r="J61" s="879"/>
    </row>
    <row r="62" spans="1:13" x14ac:dyDescent="0.2">
      <c r="A62" s="879"/>
      <c r="B62" s="879"/>
      <c r="C62" s="879"/>
      <c r="D62" s="879"/>
      <c r="E62" s="879"/>
      <c r="F62" s="879"/>
      <c r="G62" s="879"/>
      <c r="H62" s="879"/>
      <c r="I62" s="879"/>
      <c r="J62" s="879"/>
    </row>
    <row r="63" spans="1:13" x14ac:dyDescent="0.2">
      <c r="A63" s="879"/>
      <c r="B63" s="879"/>
      <c r="C63" s="879"/>
      <c r="D63" s="879"/>
      <c r="E63" s="879"/>
      <c r="F63" s="879"/>
      <c r="G63" s="879"/>
      <c r="H63" s="879"/>
      <c r="I63" s="879"/>
      <c r="J63" s="879"/>
    </row>
    <row r="64" spans="1:13" x14ac:dyDescent="0.2">
      <c r="A64" s="879"/>
      <c r="B64" s="879"/>
      <c r="C64" s="879"/>
      <c r="D64" s="879"/>
      <c r="E64" s="879"/>
      <c r="F64" s="879"/>
      <c r="G64" s="879"/>
      <c r="H64" s="879"/>
      <c r="I64" s="879"/>
      <c r="J64" s="879"/>
    </row>
    <row r="65" spans="1:10" x14ac:dyDescent="0.2">
      <c r="A65" s="879"/>
      <c r="B65" s="879"/>
      <c r="C65" s="879"/>
      <c r="D65" s="879"/>
      <c r="E65" s="879"/>
      <c r="F65" s="879"/>
      <c r="G65" s="879"/>
      <c r="H65" s="879"/>
      <c r="I65" s="879"/>
      <c r="J65" s="879"/>
    </row>
    <row r="66" spans="1:10" x14ac:dyDescent="0.2">
      <c r="A66" s="879"/>
      <c r="B66" s="879"/>
      <c r="C66" s="879"/>
      <c r="D66" s="879"/>
      <c r="E66" s="879"/>
      <c r="F66" s="879"/>
      <c r="G66" s="879"/>
      <c r="H66" s="879"/>
      <c r="I66" s="879"/>
      <c r="J66" s="879"/>
    </row>
    <row r="67" spans="1:10" x14ac:dyDescent="0.2">
      <c r="A67" s="879"/>
      <c r="B67" s="879"/>
      <c r="C67" s="879"/>
      <c r="D67" s="879"/>
      <c r="E67" s="879"/>
      <c r="F67" s="879"/>
      <c r="G67" s="879"/>
      <c r="H67" s="879"/>
      <c r="I67" s="879"/>
      <c r="J67" s="879"/>
    </row>
    <row r="68" spans="1:10" x14ac:dyDescent="0.2">
      <c r="A68" s="879"/>
      <c r="B68" s="879"/>
      <c r="C68" s="879"/>
      <c r="D68" s="879"/>
      <c r="E68" s="879"/>
      <c r="F68" s="879"/>
      <c r="G68" s="879"/>
      <c r="H68" s="879"/>
      <c r="I68" s="879"/>
      <c r="J68" s="879"/>
    </row>
    <row r="69" spans="1:10" x14ac:dyDescent="0.2">
      <c r="A69" s="879"/>
      <c r="B69" s="879"/>
      <c r="C69" s="879"/>
      <c r="D69" s="879"/>
      <c r="E69" s="879"/>
      <c r="F69" s="879"/>
      <c r="G69" s="879"/>
      <c r="H69" s="879"/>
      <c r="I69" s="879"/>
      <c r="J69" s="879"/>
    </row>
    <row r="70" spans="1:10" x14ac:dyDescent="0.2">
      <c r="A70" s="879"/>
      <c r="B70" s="879"/>
      <c r="C70" s="879"/>
      <c r="D70" s="879"/>
      <c r="E70" s="879"/>
      <c r="F70" s="879"/>
      <c r="G70" s="879"/>
      <c r="H70" s="879"/>
      <c r="I70" s="879"/>
      <c r="J70" s="879"/>
    </row>
    <row r="71" spans="1:10" x14ac:dyDescent="0.2">
      <c r="A71" s="879"/>
      <c r="B71" s="879"/>
      <c r="C71" s="879"/>
      <c r="D71" s="879"/>
      <c r="E71" s="879"/>
      <c r="F71" s="879"/>
      <c r="G71" s="879"/>
      <c r="H71" s="879"/>
      <c r="I71" s="879"/>
      <c r="J71" s="879"/>
    </row>
    <row r="72" spans="1:10" x14ac:dyDescent="0.2">
      <c r="A72" s="879"/>
      <c r="B72" s="879"/>
      <c r="C72" s="879"/>
      <c r="D72" s="879"/>
      <c r="E72" s="879"/>
      <c r="F72" s="879"/>
      <c r="G72" s="879"/>
      <c r="H72" s="879"/>
      <c r="I72" s="879"/>
      <c r="J72" s="879"/>
    </row>
    <row r="73" spans="1:10" x14ac:dyDescent="0.2">
      <c r="A73" s="879"/>
      <c r="B73" s="879"/>
      <c r="C73" s="879"/>
      <c r="D73" s="879"/>
      <c r="E73" s="879"/>
      <c r="F73" s="879"/>
      <c r="G73" s="879"/>
      <c r="H73" s="879"/>
      <c r="I73" s="879"/>
      <c r="J73" s="879"/>
    </row>
    <row r="74" spans="1:10" x14ac:dyDescent="0.2">
      <c r="A74" s="879"/>
      <c r="B74" s="879"/>
      <c r="C74" s="879"/>
      <c r="D74" s="879"/>
      <c r="E74" s="879"/>
      <c r="F74" s="879"/>
      <c r="G74" s="879"/>
      <c r="H74" s="879"/>
      <c r="I74" s="879"/>
      <c r="J74" s="879"/>
    </row>
    <row r="75" spans="1:10" x14ac:dyDescent="0.2">
      <c r="A75" s="879"/>
      <c r="B75" s="879"/>
      <c r="C75" s="879"/>
      <c r="D75" s="879"/>
      <c r="E75" s="879"/>
      <c r="F75" s="879"/>
      <c r="G75" s="879"/>
      <c r="H75" s="879"/>
      <c r="I75" s="879"/>
      <c r="J75" s="879"/>
    </row>
    <row r="76" spans="1:10" x14ac:dyDescent="0.2">
      <c r="A76" s="879"/>
      <c r="B76" s="879"/>
      <c r="C76" s="879"/>
      <c r="D76" s="879"/>
      <c r="E76" s="879"/>
      <c r="F76" s="879"/>
      <c r="G76" s="879"/>
      <c r="H76" s="879"/>
      <c r="I76" s="879"/>
      <c r="J76" s="879"/>
    </row>
    <row r="77" spans="1:10" x14ac:dyDescent="0.2">
      <c r="A77" s="879"/>
      <c r="B77" s="879"/>
      <c r="C77" s="879"/>
      <c r="D77" s="879"/>
      <c r="E77" s="879"/>
      <c r="F77" s="879"/>
      <c r="G77" s="879"/>
      <c r="H77" s="879"/>
      <c r="I77" s="879"/>
      <c r="J77" s="879"/>
    </row>
    <row r="78" spans="1:10" x14ac:dyDescent="0.2">
      <c r="A78" s="879"/>
      <c r="B78" s="879"/>
      <c r="C78" s="879"/>
      <c r="D78" s="879"/>
      <c r="E78" s="879"/>
      <c r="F78" s="879"/>
      <c r="G78" s="879"/>
      <c r="H78" s="879"/>
      <c r="I78" s="879"/>
      <c r="J78" s="879"/>
    </row>
    <row r="79" spans="1:10" x14ac:dyDescent="0.2">
      <c r="A79" s="879"/>
      <c r="B79" s="879"/>
      <c r="C79" s="879"/>
      <c r="D79" s="879"/>
      <c r="E79" s="879"/>
      <c r="F79" s="879"/>
      <c r="G79" s="879"/>
      <c r="H79" s="879"/>
      <c r="I79" s="879"/>
      <c r="J79" s="879"/>
    </row>
    <row r="80" spans="1:10" x14ac:dyDescent="0.2">
      <c r="A80" s="879"/>
      <c r="B80" s="879"/>
      <c r="C80" s="879"/>
      <c r="D80" s="879"/>
      <c r="E80" s="879"/>
      <c r="F80" s="879"/>
      <c r="G80" s="879"/>
      <c r="H80" s="879"/>
      <c r="I80" s="879"/>
      <c r="J80" s="879"/>
    </row>
    <row r="81" spans="4:10" x14ac:dyDescent="0.2">
      <c r="D81" s="879"/>
      <c r="E81" s="879"/>
      <c r="F81" s="879"/>
      <c r="G81" s="879"/>
      <c r="H81" s="879"/>
      <c r="I81" s="879"/>
      <c r="J81" s="879"/>
    </row>
    <row r="82" spans="4:10" x14ac:dyDescent="0.2">
      <c r="D82" s="879"/>
      <c r="E82" s="879"/>
      <c r="F82" s="879"/>
      <c r="G82" s="879"/>
      <c r="H82" s="879"/>
      <c r="I82" s="879"/>
      <c r="J82" s="879"/>
    </row>
    <row r="83" spans="4:10" x14ac:dyDescent="0.2">
      <c r="D83" s="879"/>
      <c r="E83" s="879"/>
      <c r="F83" s="879"/>
      <c r="G83" s="879"/>
      <c r="H83" s="879"/>
      <c r="I83" s="879"/>
      <c r="J83" s="879"/>
    </row>
  </sheetData>
  <sheetProtection sheet="1" objects="1" scenarios="1"/>
  <mergeCells count="8">
    <mergeCell ref="K39:K40"/>
    <mergeCell ref="L39:L40"/>
    <mergeCell ref="G37:J37"/>
    <mergeCell ref="F39:F40"/>
    <mergeCell ref="G39:G40"/>
    <mergeCell ref="H39:H40"/>
    <mergeCell ref="I39:I40"/>
    <mergeCell ref="J39:J40"/>
  </mergeCells>
  <conditionalFormatting sqref="I41:I47">
    <cfRule type="colorScale" priority="1">
      <colorScale>
        <cfvo type="min"/>
        <cfvo type="num" val="0"/>
        <cfvo type="max"/>
        <color rgb="FFFF0000"/>
        <color theme="0"/>
        <color rgb="FF00B050"/>
      </colorScale>
    </cfRule>
    <cfRule type="colorScale" priority="2">
      <colorScale>
        <cfvo type="min"/>
        <cfvo type="percentile" val="50"/>
        <cfvo type="max"/>
        <color rgb="FFF8696B"/>
        <color rgb="FFFFEB84"/>
        <color rgb="FF63BE7B"/>
      </colorScale>
    </cfRule>
  </conditionalFormatting>
  <pageMargins left="0.59055118110236227" right="0" top="0.59055118110236227" bottom="0.78740157480314965" header="0.51181102362204722" footer="0.51181102362204722"/>
  <pageSetup paperSize="9" scale="56" orientation="landscape" r:id="rId1"/>
  <headerFooter alignWithMargins="0">
    <oddFooter>&amp;Lstr. &amp;P z &amp;N&amp;Rsoubor &amp;F; list &amp;A</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1BD67-1963-46F5-B186-B45A01BCD44C}">
  <sheetPr>
    <tabColor rgb="FF00B050"/>
    <pageSetUpPr fitToPage="1"/>
  </sheetPr>
  <dimension ref="A1:AF85"/>
  <sheetViews>
    <sheetView zoomScaleNormal="100" zoomScalePageLayoutView="130" workbookViewId="0">
      <selection activeCell="N39" sqref="N39"/>
    </sheetView>
  </sheetViews>
  <sheetFormatPr defaultColWidth="8.7109375" defaultRowHeight="12.75" x14ac:dyDescent="0.2"/>
  <cols>
    <col min="1" max="1" width="49.42578125" style="497" bestFit="1" customWidth="1"/>
    <col min="2" max="2" width="16.7109375" style="496" bestFit="1" customWidth="1"/>
    <col min="3" max="3" width="14.7109375" style="496" bestFit="1" customWidth="1"/>
    <col min="4" max="4" width="14.7109375" style="496" customWidth="1"/>
    <col min="5" max="6" width="11.7109375" style="496" customWidth="1"/>
    <col min="7" max="9" width="11.7109375" style="497" customWidth="1"/>
    <col min="10" max="10" width="15.7109375" style="497" customWidth="1"/>
    <col min="11" max="12" width="11.7109375" style="497" customWidth="1"/>
    <col min="13" max="13" width="13.140625" style="497" customWidth="1"/>
    <col min="14" max="14" width="14.42578125" style="497" customWidth="1"/>
    <col min="15" max="15" width="8.7109375" style="497"/>
    <col min="16" max="16" width="15.42578125" style="497" customWidth="1"/>
    <col min="17" max="17" width="10.42578125" style="497" customWidth="1"/>
    <col min="18" max="16384" width="8.7109375" style="497"/>
  </cols>
  <sheetData>
    <row r="1" spans="1:32" ht="25.5" customHeight="1" x14ac:dyDescent="0.4">
      <c r="A1" s="493" t="s">
        <v>212</v>
      </c>
      <c r="B1" s="494">
        <v>2020</v>
      </c>
      <c r="C1" s="495" t="s">
        <v>213</v>
      </c>
      <c r="G1" s="496"/>
      <c r="H1" s="496"/>
      <c r="I1" s="496"/>
    </row>
    <row r="2" spans="1:32" ht="13.15" customHeight="1" x14ac:dyDescent="0.4">
      <c r="A2" s="493"/>
      <c r="B2" s="498"/>
      <c r="D2" s="495"/>
      <c r="G2" s="496"/>
      <c r="H2" s="496"/>
      <c r="I2" s="496"/>
    </row>
    <row r="3" spans="1:32" ht="13.15" customHeight="1" thickBot="1" x14ac:dyDescent="0.25">
      <c r="A3" s="499" t="s">
        <v>214</v>
      </c>
    </row>
    <row r="4" spans="1:32" ht="13.15" customHeight="1" thickBot="1" x14ac:dyDescent="0.25">
      <c r="A4" s="500" t="s">
        <v>215</v>
      </c>
      <c r="B4" s="501" t="s">
        <v>216</v>
      </c>
      <c r="C4" s="502"/>
      <c r="D4" s="503" t="s">
        <v>217</v>
      </c>
      <c r="E4" s="504" t="s">
        <v>216</v>
      </c>
      <c r="F4" s="504" t="s">
        <v>218</v>
      </c>
      <c r="H4" s="505" t="s">
        <v>219</v>
      </c>
      <c r="I4" s="506"/>
      <c r="J4" s="507"/>
      <c r="K4" s="508" t="s">
        <v>220</v>
      </c>
      <c r="L4" s="509" t="s">
        <v>216</v>
      </c>
      <c r="M4" s="510"/>
      <c r="N4" s="510"/>
      <c r="O4" s="510"/>
    </row>
    <row r="5" spans="1:32" ht="13.15" customHeight="1" x14ac:dyDescent="0.3">
      <c r="A5" s="511" t="s">
        <v>221</v>
      </c>
      <c r="B5" s="512">
        <f>468322+86905</f>
        <v>555227</v>
      </c>
      <c r="C5" s="513"/>
      <c r="D5" s="514" t="s">
        <v>222</v>
      </c>
      <c r="E5" s="515">
        <f>F5*(B5+B6)</f>
        <v>478198.1</v>
      </c>
      <c r="F5" s="516">
        <v>0.85</v>
      </c>
      <c r="G5" s="517"/>
      <c r="H5" s="518" t="s">
        <v>223</v>
      </c>
      <c r="I5" s="519"/>
      <c r="J5" s="520"/>
      <c r="K5" s="521">
        <v>30</v>
      </c>
      <c r="L5" s="522">
        <f>ROUND(E$6*K5/100,0)</f>
        <v>25316</v>
      </c>
      <c r="M5" s="510"/>
      <c r="N5" s="510"/>
      <c r="O5" s="510"/>
    </row>
    <row r="6" spans="1:32" ht="13.15" customHeight="1" thickBot="1" x14ac:dyDescent="0.35">
      <c r="A6" s="523" t="s">
        <v>224</v>
      </c>
      <c r="B6" s="524">
        <f>5447+1912</f>
        <v>7359</v>
      </c>
      <c r="C6" s="513"/>
      <c r="D6" s="525" t="s">
        <v>225</v>
      </c>
      <c r="E6" s="526">
        <f>F6*(B5+B6)</f>
        <v>84387.9</v>
      </c>
      <c r="F6" s="527">
        <v>0.15</v>
      </c>
      <c r="G6" s="528"/>
      <c r="H6" s="529" t="s">
        <v>226</v>
      </c>
      <c r="I6" s="530"/>
      <c r="J6" s="531"/>
      <c r="K6" s="532">
        <v>10</v>
      </c>
      <c r="L6" s="533">
        <f t="shared" ref="L6:L12" si="0">ROUND(E$6*K6/100,0)</f>
        <v>8439</v>
      </c>
      <c r="M6" s="510"/>
      <c r="N6" s="510"/>
      <c r="O6" s="510"/>
    </row>
    <row r="7" spans="1:32" ht="13.15" customHeight="1" thickBot="1" x14ac:dyDescent="0.3">
      <c r="A7" s="534" t="s">
        <v>227</v>
      </c>
      <c r="B7" s="535">
        <v>26510</v>
      </c>
      <c r="C7" s="513"/>
      <c r="D7" s="536" t="s">
        <v>228</v>
      </c>
      <c r="E7" s="537">
        <f>SUM(E5:E6)</f>
        <v>562586</v>
      </c>
      <c r="F7" s="538">
        <f>SUM(F5:F6)</f>
        <v>1</v>
      </c>
      <c r="G7" s="539"/>
      <c r="H7" s="529" t="s">
        <v>229</v>
      </c>
      <c r="I7" s="530"/>
      <c r="J7" s="531"/>
      <c r="K7" s="532">
        <v>5</v>
      </c>
      <c r="L7" s="533">
        <f t="shared" si="0"/>
        <v>4219</v>
      </c>
      <c r="M7" s="510"/>
      <c r="N7" s="510"/>
      <c r="O7" s="510"/>
      <c r="W7" s="540"/>
      <c r="Z7" s="541"/>
      <c r="AB7" s="541"/>
      <c r="AD7" s="541"/>
      <c r="AF7" s="541"/>
    </row>
    <row r="8" spans="1:32" ht="13.15" customHeight="1" x14ac:dyDescent="0.2">
      <c r="A8" s="534" t="s">
        <v>230</v>
      </c>
      <c r="B8" s="542">
        <f>7915</f>
        <v>7915</v>
      </c>
      <c r="C8" s="513"/>
      <c r="D8" s="543"/>
      <c r="E8" s="544"/>
      <c r="F8" s="545"/>
      <c r="G8" s="546"/>
      <c r="H8" s="529" t="s">
        <v>231</v>
      </c>
      <c r="I8" s="530"/>
      <c r="J8" s="531"/>
      <c r="K8" s="532">
        <v>0</v>
      </c>
      <c r="L8" s="533">
        <f t="shared" si="0"/>
        <v>0</v>
      </c>
      <c r="M8" s="510"/>
      <c r="N8" s="510"/>
      <c r="O8" s="510"/>
    </row>
    <row r="9" spans="1:32" ht="13.15" customHeight="1" x14ac:dyDescent="0.2">
      <c r="A9" s="534" t="s">
        <v>232</v>
      </c>
      <c r="B9" s="547">
        <v>6518</v>
      </c>
      <c r="C9" s="513"/>
      <c r="H9" s="529" t="s">
        <v>233</v>
      </c>
      <c r="I9" s="530"/>
      <c r="J9" s="531"/>
      <c r="K9" s="532">
        <v>0</v>
      </c>
      <c r="L9" s="533">
        <f t="shared" si="0"/>
        <v>0</v>
      </c>
      <c r="M9" s="510"/>
      <c r="N9" s="510"/>
      <c r="O9" s="510"/>
    </row>
    <row r="10" spans="1:32" ht="13.15" customHeight="1" x14ac:dyDescent="0.2">
      <c r="A10" s="523" t="s">
        <v>234</v>
      </c>
      <c r="B10" s="524">
        <v>5585</v>
      </c>
      <c r="C10" s="513"/>
      <c r="G10" s="548"/>
      <c r="H10" s="529" t="s">
        <v>235</v>
      </c>
      <c r="I10" s="549"/>
      <c r="J10" s="531"/>
      <c r="K10" s="532">
        <v>10</v>
      </c>
      <c r="L10" s="533">
        <f t="shared" si="0"/>
        <v>8439</v>
      </c>
      <c r="M10" s="510"/>
      <c r="N10" s="510"/>
      <c r="O10" s="510"/>
    </row>
    <row r="11" spans="1:32" ht="13.15" customHeight="1" x14ac:dyDescent="0.2">
      <c r="A11" s="523" t="s">
        <v>236</v>
      </c>
      <c r="B11" s="547">
        <f>125446</f>
        <v>125446</v>
      </c>
      <c r="C11" s="513"/>
      <c r="G11" s="548"/>
      <c r="H11" s="529" t="s">
        <v>237</v>
      </c>
      <c r="I11" s="530"/>
      <c r="J11" s="531"/>
      <c r="K11" s="532">
        <v>45</v>
      </c>
      <c r="L11" s="533">
        <f t="shared" si="0"/>
        <v>37975</v>
      </c>
      <c r="M11" s="510"/>
      <c r="N11" s="510"/>
      <c r="O11" s="510"/>
    </row>
    <row r="12" spans="1:32" ht="13.15" customHeight="1" thickBot="1" x14ac:dyDescent="0.25">
      <c r="A12" s="523"/>
      <c r="B12" s="524"/>
      <c r="C12" s="513"/>
      <c r="D12" s="550"/>
      <c r="G12" s="548"/>
      <c r="H12" s="551" t="s">
        <v>238</v>
      </c>
      <c r="I12" s="552"/>
      <c r="J12" s="553"/>
      <c r="K12" s="554">
        <v>0</v>
      </c>
      <c r="L12" s="555">
        <f t="shared" si="0"/>
        <v>0</v>
      </c>
      <c r="M12" s="510"/>
      <c r="N12" s="510"/>
      <c r="O12" s="510"/>
    </row>
    <row r="13" spans="1:32" ht="13.15" customHeight="1" thickBot="1" x14ac:dyDescent="0.25">
      <c r="A13" s="556"/>
      <c r="B13" s="557"/>
      <c r="C13" s="513"/>
      <c r="H13" s="505" t="s">
        <v>17</v>
      </c>
      <c r="I13" s="506"/>
      <c r="J13" s="506"/>
      <c r="K13" s="508">
        <f>SUM(K5:K12)</f>
        <v>100</v>
      </c>
      <c r="L13" s="558">
        <f>SUM(L5:L12)</f>
        <v>84388</v>
      </c>
      <c r="M13" s="510"/>
      <c r="N13" s="510"/>
      <c r="O13" s="510"/>
    </row>
    <row r="14" spans="1:32" s="499" customFormat="1" ht="13.15" customHeight="1" thickBot="1" x14ac:dyDescent="0.25">
      <c r="A14" s="559" t="s">
        <v>17</v>
      </c>
      <c r="B14" s="560">
        <f>SUM(B5:B13)</f>
        <v>734560</v>
      </c>
      <c r="C14" s="513"/>
      <c r="H14" s="510"/>
      <c r="I14" s="510"/>
      <c r="J14" s="510"/>
      <c r="K14" s="510"/>
      <c r="L14" s="510"/>
      <c r="M14" s="510"/>
      <c r="N14" s="510"/>
      <c r="O14" s="510"/>
    </row>
    <row r="15" spans="1:32" ht="13.15" customHeight="1" x14ac:dyDescent="0.2">
      <c r="A15" s="545"/>
      <c r="B15" s="561"/>
      <c r="H15" s="510"/>
      <c r="I15" s="510"/>
      <c r="J15" s="510"/>
      <c r="K15" s="510"/>
      <c r="L15" s="510"/>
      <c r="M15" s="510"/>
      <c r="N15" s="510"/>
      <c r="O15" s="510"/>
    </row>
    <row r="16" spans="1:32" x14ac:dyDescent="0.2">
      <c r="A16" s="496"/>
      <c r="J16" s="562"/>
    </row>
    <row r="17" spans="1:20" x14ac:dyDescent="0.2">
      <c r="A17" s="495"/>
    </row>
    <row r="18" spans="1:20" ht="12.75" customHeight="1" thickBot="1" x14ac:dyDescent="0.25">
      <c r="A18" s="563" t="s">
        <v>239</v>
      </c>
      <c r="C18" s="564"/>
      <c r="M18" s="545"/>
      <c r="N18" s="545"/>
      <c r="O18" s="545"/>
      <c r="P18" s="545"/>
      <c r="Q18" s="545"/>
    </row>
    <row r="19" spans="1:20" ht="13.5" customHeight="1" x14ac:dyDescent="0.2">
      <c r="A19" s="565"/>
      <c r="B19" s="566" t="s">
        <v>240</v>
      </c>
      <c r="C19" s="567" t="s">
        <v>240</v>
      </c>
      <c r="D19" s="567" t="s">
        <v>241</v>
      </c>
      <c r="E19" s="567" t="s">
        <v>242</v>
      </c>
      <c r="F19" s="567" t="s">
        <v>243</v>
      </c>
      <c r="G19" s="568" t="s">
        <v>244</v>
      </c>
      <c r="H19" s="568" t="s">
        <v>245</v>
      </c>
      <c r="I19" s="568" t="s">
        <v>246</v>
      </c>
      <c r="J19" s="569" t="s">
        <v>17</v>
      </c>
      <c r="K19" s="570" t="s">
        <v>239</v>
      </c>
      <c r="L19" s="571" t="s">
        <v>80</v>
      </c>
      <c r="M19" s="571" t="s">
        <v>80</v>
      </c>
      <c r="N19" s="572"/>
      <c r="O19" s="572"/>
      <c r="P19" s="572"/>
      <c r="Q19" s="572"/>
      <c r="R19" s="572"/>
    </row>
    <row r="20" spans="1:20" ht="15.75" x14ac:dyDescent="0.25">
      <c r="A20" s="573" t="s">
        <v>247</v>
      </c>
      <c r="B20" s="574" t="s">
        <v>248</v>
      </c>
      <c r="C20" s="575" t="s">
        <v>248</v>
      </c>
      <c r="D20" s="575" t="s">
        <v>249</v>
      </c>
      <c r="E20" s="575" t="s">
        <v>250</v>
      </c>
      <c r="F20" s="575" t="s">
        <v>251</v>
      </c>
      <c r="G20" s="576" t="s">
        <v>252</v>
      </c>
      <c r="H20" s="576" t="s">
        <v>253</v>
      </c>
      <c r="I20" s="576" t="s">
        <v>254</v>
      </c>
      <c r="J20" s="577" t="s">
        <v>239</v>
      </c>
      <c r="K20" s="578" t="s">
        <v>255</v>
      </c>
      <c r="L20" s="579" t="s">
        <v>256</v>
      </c>
      <c r="M20" s="579" t="s">
        <v>256</v>
      </c>
      <c r="N20" s="572"/>
      <c r="O20" s="572"/>
      <c r="P20" s="572"/>
      <c r="Q20" s="572"/>
      <c r="R20" s="572"/>
    </row>
    <row r="21" spans="1:20" ht="15.75" x14ac:dyDescent="0.25">
      <c r="A21" s="573" t="s">
        <v>257</v>
      </c>
      <c r="B21" s="574" t="s">
        <v>258</v>
      </c>
      <c r="C21" s="575" t="s">
        <v>258</v>
      </c>
      <c r="D21" s="575" t="s">
        <v>259</v>
      </c>
      <c r="E21" s="575" t="s">
        <v>258</v>
      </c>
      <c r="F21" s="575" t="s">
        <v>260</v>
      </c>
      <c r="G21" s="576"/>
      <c r="H21" s="576" t="s">
        <v>261</v>
      </c>
      <c r="I21" s="576" t="s">
        <v>262</v>
      </c>
      <c r="J21" s="577" t="s">
        <v>255</v>
      </c>
      <c r="K21" s="580"/>
      <c r="L21" s="579" t="s">
        <v>263</v>
      </c>
      <c r="M21" s="579" t="s">
        <v>263</v>
      </c>
      <c r="N21" s="572"/>
      <c r="O21" s="572"/>
      <c r="P21" s="572"/>
      <c r="Q21" s="572"/>
      <c r="R21" s="572"/>
    </row>
    <row r="22" spans="1:20" x14ac:dyDescent="0.2">
      <c r="A22" s="581" t="s">
        <v>264</v>
      </c>
      <c r="B22" s="574" t="s">
        <v>265</v>
      </c>
      <c r="C22" s="575" t="s">
        <v>266</v>
      </c>
      <c r="D22" s="582"/>
      <c r="E22" s="582"/>
      <c r="F22" s="582"/>
      <c r="G22" s="576"/>
      <c r="H22" s="576" t="s">
        <v>267</v>
      </c>
      <c r="I22" s="576"/>
      <c r="J22" s="577"/>
      <c r="K22" s="580"/>
      <c r="L22" s="583" t="str">
        <f>K23</f>
        <v>2019</v>
      </c>
      <c r="M22" s="583" t="str">
        <f>K23</f>
        <v>2019</v>
      </c>
      <c r="N22" s="572"/>
      <c r="O22" s="584"/>
      <c r="P22" s="584"/>
      <c r="Q22" s="572"/>
      <c r="R22" s="584"/>
    </row>
    <row r="23" spans="1:20" s="591" customFormat="1" ht="13.5" thickBot="1" x14ac:dyDescent="0.25">
      <c r="A23" s="585"/>
      <c r="B23" s="586">
        <f>B1</f>
        <v>2020</v>
      </c>
      <c r="C23" s="586">
        <f>B1</f>
        <v>2020</v>
      </c>
      <c r="D23" s="587">
        <f>B1</f>
        <v>2020</v>
      </c>
      <c r="E23" s="587">
        <f>B1</f>
        <v>2020</v>
      </c>
      <c r="F23" s="587">
        <f>B1</f>
        <v>2020</v>
      </c>
      <c r="G23" s="588"/>
      <c r="H23" s="576"/>
      <c r="I23" s="576"/>
      <c r="J23" s="589">
        <f>B1</f>
        <v>2020</v>
      </c>
      <c r="K23" s="590" t="s">
        <v>186</v>
      </c>
      <c r="L23" s="583" t="s">
        <v>18</v>
      </c>
      <c r="M23" s="583" t="s">
        <v>268</v>
      </c>
      <c r="N23" s="572"/>
      <c r="O23" s="584"/>
      <c r="P23" s="584"/>
      <c r="Q23" s="584"/>
      <c r="R23" s="584"/>
    </row>
    <row r="24" spans="1:20" x14ac:dyDescent="0.2">
      <c r="A24" s="592" t="s">
        <v>269</v>
      </c>
      <c r="B24" s="593">
        <f t="shared" ref="B24:B29" si="1">C46+D46</f>
        <v>95661.699211962594</v>
      </c>
      <c r="C24" s="594">
        <f>'[7]PVk 2020'!V8</f>
        <v>9324.6669840088143</v>
      </c>
      <c r="D24" s="595">
        <f>B7</f>
        <v>26510</v>
      </c>
      <c r="E24" s="595">
        <v>0</v>
      </c>
      <c r="F24" s="595">
        <f>'[7]Institucionální podpora'!C21</f>
        <v>15349.077378973296</v>
      </c>
      <c r="G24" s="596">
        <f>'[7]Podíl na P1'!K10*(-1)</f>
        <v>-24938.589037035686</v>
      </c>
      <c r="H24" s="597">
        <f>-4-2158-0</f>
        <v>-2162</v>
      </c>
      <c r="I24" s="596">
        <f>'[7]Podíl na P1'!J10*(-1)</f>
        <v>-2104.1164243093535</v>
      </c>
      <c r="J24" s="598">
        <f t="shared" ref="J24:J35" si="2">SUM(B24:I24)</f>
        <v>117640.73811359968</v>
      </c>
      <c r="K24" s="599">
        <v>110997.06461461853</v>
      </c>
      <c r="L24" s="600">
        <f>J24/K24*100</f>
        <v>105.98544972522288</v>
      </c>
      <c r="M24" s="601">
        <f>J24-K24</f>
        <v>6643.6734989811521</v>
      </c>
      <c r="N24" s="602"/>
      <c r="Q24" s="603"/>
      <c r="R24" s="604"/>
      <c r="S24" s="604"/>
      <c r="T24" s="605"/>
    </row>
    <row r="25" spans="1:20" x14ac:dyDescent="0.2">
      <c r="A25" s="606" t="s">
        <v>270</v>
      </c>
      <c r="B25" s="607">
        <f t="shared" si="1"/>
        <v>19937.5172357593</v>
      </c>
      <c r="C25" s="608">
        <f>'[7]PVk 2020'!V9</f>
        <v>2812.4348601284728</v>
      </c>
      <c r="D25" s="609">
        <v>0</v>
      </c>
      <c r="E25" s="609">
        <v>0</v>
      </c>
      <c r="F25" s="609">
        <f>'[7]Institucionální podpora'!C22</f>
        <v>2645.0531481966004</v>
      </c>
      <c r="G25" s="610">
        <f>'[7]Podíl na P1'!K11*(-1)</f>
        <v>-4307.7600794764303</v>
      </c>
      <c r="H25" s="611">
        <f>0-10-0</f>
        <v>-10</v>
      </c>
      <c r="I25" s="610">
        <f>'[7]Podíl na P1'!J11*(-1)</f>
        <v>-363.45395169509214</v>
      </c>
      <c r="J25" s="612">
        <f t="shared" si="2"/>
        <v>20713.791212912849</v>
      </c>
      <c r="K25" s="613">
        <v>19095.504368330858</v>
      </c>
      <c r="L25" s="614">
        <f t="shared" ref="L25:L30" si="3">J25/K25*100</f>
        <v>108.47470071157616</v>
      </c>
      <c r="M25" s="615">
        <f t="shared" ref="M25:M33" si="4">J25-K25</f>
        <v>1618.2868445819913</v>
      </c>
      <c r="N25" s="602"/>
      <c r="Q25" s="603"/>
      <c r="R25" s="604"/>
      <c r="S25" s="604"/>
      <c r="T25" s="605"/>
    </row>
    <row r="26" spans="1:20" x14ac:dyDescent="0.2">
      <c r="A26" s="606" t="s">
        <v>271</v>
      </c>
      <c r="B26" s="607">
        <f t="shared" si="1"/>
        <v>89432.769372873299</v>
      </c>
      <c r="C26" s="608">
        <f>'[7]PVk 2020'!V10</f>
        <v>22027.675133540728</v>
      </c>
      <c r="D26" s="609">
        <f>B9/4</f>
        <v>1629.5</v>
      </c>
      <c r="E26" s="609">
        <v>0</v>
      </c>
      <c r="F26" s="609">
        <f>'[7]Institucionální podpora'!C23</f>
        <v>30442.917821725143</v>
      </c>
      <c r="G26" s="610">
        <f>'[7]Podíl na P1'!K12*(-1)</f>
        <v>-24209.010297263179</v>
      </c>
      <c r="H26" s="611">
        <f>0-99-0</f>
        <v>-99</v>
      </c>
      <c r="I26" s="610">
        <f>'[7]Podíl na P1'!J12*(-1)</f>
        <v>-2042.5604715286051</v>
      </c>
      <c r="J26" s="612">
        <f t="shared" si="2"/>
        <v>117182.29155934737</v>
      </c>
      <c r="K26" s="613">
        <v>108278.76333411026</v>
      </c>
      <c r="L26" s="614">
        <f t="shared" si="3"/>
        <v>108.22278344439893</v>
      </c>
      <c r="M26" s="615">
        <f t="shared" si="4"/>
        <v>8903.5282252371107</v>
      </c>
      <c r="N26" s="602"/>
      <c r="Q26" s="603"/>
      <c r="R26" s="604"/>
      <c r="S26" s="604"/>
      <c r="T26" s="605"/>
    </row>
    <row r="27" spans="1:20" x14ac:dyDescent="0.2">
      <c r="A27" s="606" t="s">
        <v>272</v>
      </c>
      <c r="B27" s="607">
        <f t="shared" si="1"/>
        <v>115000.99888287501</v>
      </c>
      <c r="C27" s="608">
        <f>'[7]PVk 2020'!V11</f>
        <v>20103.908287017035</v>
      </c>
      <c r="D27" s="609">
        <f>B9/4</f>
        <v>1629.5</v>
      </c>
      <c r="E27" s="609">
        <v>0</v>
      </c>
      <c r="F27" s="609">
        <f>'[7]Institucionální podpora'!C24</f>
        <v>36456.230543775047</v>
      </c>
      <c r="G27" s="610">
        <f>'[7]Podíl na P1'!K13*(-1)</f>
        <v>-29259.477958070467</v>
      </c>
      <c r="H27" s="611">
        <f>2-926-24</f>
        <v>-948</v>
      </c>
      <c r="I27" s="610">
        <f>'[7]Podíl na P1'!J13*(-1)</f>
        <v>-2468.6780814609992</v>
      </c>
      <c r="J27" s="612">
        <f t="shared" si="2"/>
        <v>140514.48167413563</v>
      </c>
      <c r="K27" s="613">
        <v>126830.59473944275</v>
      </c>
      <c r="L27" s="614">
        <f t="shared" si="3"/>
        <v>110.7891057065566</v>
      </c>
      <c r="M27" s="615">
        <f t="shared" si="4"/>
        <v>13683.886934692884</v>
      </c>
      <c r="N27" s="602"/>
      <c r="Q27" s="603"/>
      <c r="R27" s="604"/>
      <c r="S27" s="604"/>
      <c r="T27" s="605"/>
    </row>
    <row r="28" spans="1:20" x14ac:dyDescent="0.2">
      <c r="A28" s="606" t="s">
        <v>273</v>
      </c>
      <c r="B28" s="607">
        <f>C50+D50</f>
        <v>114604.555341673</v>
      </c>
      <c r="C28" s="608">
        <f>'[7]PVk 2020'!V12</f>
        <v>11146.792379322811</v>
      </c>
      <c r="D28" s="609">
        <f>B8+(B9/2)</f>
        <v>11174</v>
      </c>
      <c r="E28" s="609">
        <v>0</v>
      </c>
      <c r="F28" s="609">
        <f>'[7]Institucionální podpora'!C25</f>
        <v>12619.372403645983</v>
      </c>
      <c r="G28" s="610">
        <f>'[7]Podíl na P1'!K14*(-1)</f>
        <v>-25498.678400121571</v>
      </c>
      <c r="H28" s="611">
        <f>0-637-0</f>
        <v>-637</v>
      </c>
      <c r="I28" s="610">
        <f>'[7]Podíl na P1'!J14*(-1)</f>
        <v>-2151.3722344195335</v>
      </c>
      <c r="J28" s="612">
        <f t="shared" si="2"/>
        <v>121257.66949010068</v>
      </c>
      <c r="K28" s="613">
        <v>113192.97034872674</v>
      </c>
      <c r="L28" s="614">
        <f t="shared" si="3"/>
        <v>107.12473496943149</v>
      </c>
      <c r="M28" s="615">
        <f t="shared" si="4"/>
        <v>8064.6991413739452</v>
      </c>
      <c r="N28" s="602"/>
      <c r="Q28" s="603"/>
      <c r="R28" s="604"/>
      <c r="S28" s="604"/>
      <c r="T28" s="605"/>
    </row>
    <row r="29" spans="1:20" x14ac:dyDescent="0.2">
      <c r="A29" s="606" t="s">
        <v>274</v>
      </c>
      <c r="B29" s="607">
        <f t="shared" si="1"/>
        <v>43560.559954856799</v>
      </c>
      <c r="C29" s="608">
        <f>'[7]PVk 2020'!V13</f>
        <v>13372.241789293941</v>
      </c>
      <c r="D29" s="609">
        <v>0</v>
      </c>
      <c r="E29" s="609">
        <f>B10</f>
        <v>5585</v>
      </c>
      <c r="F29" s="609">
        <f>'[7]Institucionální podpora'!C26</f>
        <v>679.56753402902086</v>
      </c>
      <c r="G29" s="610">
        <f>'[7]Podíl na P1'!K15*(-1)</f>
        <v>-10593.96899990756</v>
      </c>
      <c r="H29" s="611">
        <f>-2-100-0</f>
        <v>-102</v>
      </c>
      <c r="I29" s="610">
        <f>'[7]Podíl na P1'!J15*(-1)</f>
        <v>-893.83341367973537</v>
      </c>
      <c r="J29" s="612">
        <f t="shared" si="2"/>
        <v>51607.56686459246</v>
      </c>
      <c r="K29" s="613">
        <v>45418.088554973379</v>
      </c>
      <c r="L29" s="614">
        <f t="shared" si="3"/>
        <v>113.62778246849254</v>
      </c>
      <c r="M29" s="615">
        <f t="shared" si="4"/>
        <v>6189.4783096190804</v>
      </c>
      <c r="N29" s="602"/>
      <c r="Q29" s="603"/>
      <c r="R29" s="604"/>
      <c r="S29" s="604"/>
      <c r="T29" s="605"/>
    </row>
    <row r="30" spans="1:20" x14ac:dyDescent="0.2">
      <c r="A30" s="606" t="s">
        <v>275</v>
      </c>
      <c r="B30" s="607">
        <f>$B$5*B52</f>
        <v>0</v>
      </c>
      <c r="C30" s="608">
        <f>'[7]PVk 2020'!V14</f>
        <v>5600.1805666881946</v>
      </c>
      <c r="D30" s="609">
        <v>0</v>
      </c>
      <c r="E30" s="609">
        <v>0</v>
      </c>
      <c r="F30" s="609">
        <f>'[7]Institucionální podpora'!C27</f>
        <v>25872.601169654914</v>
      </c>
      <c r="G30" s="610">
        <f>'[7]Podíl na P1'!K16*(-1)</f>
        <v>-5641.5152281250894</v>
      </c>
      <c r="H30" s="611">
        <f>0-227-0</f>
        <v>-227</v>
      </c>
      <c r="I30" s="610">
        <f>'[7]Podíl na P1'!J16*(-1)</f>
        <v>-475.98542290668013</v>
      </c>
      <c r="J30" s="612">
        <f t="shared" si="2"/>
        <v>25128.281085311341</v>
      </c>
      <c r="K30" s="613">
        <v>24408.102039798177</v>
      </c>
      <c r="L30" s="614">
        <f t="shared" si="3"/>
        <v>102.95057372481847</v>
      </c>
      <c r="M30" s="615">
        <f t="shared" si="4"/>
        <v>720.17904551316315</v>
      </c>
      <c r="N30" s="602"/>
      <c r="Q30" s="603"/>
      <c r="R30" s="604"/>
      <c r="S30" s="604"/>
      <c r="T30" s="605"/>
    </row>
    <row r="31" spans="1:20" x14ac:dyDescent="0.2">
      <c r="A31" s="606" t="s">
        <v>276</v>
      </c>
      <c r="B31" s="607"/>
      <c r="C31" s="608"/>
      <c r="D31" s="616"/>
      <c r="E31" s="616"/>
      <c r="F31" s="616">
        <f>'[7]Institucionální podpora'!B14</f>
        <v>1253.18</v>
      </c>
      <c r="G31" s="610"/>
      <c r="H31" s="611"/>
      <c r="I31" s="610"/>
      <c r="J31" s="612">
        <f t="shared" si="2"/>
        <v>1253.18</v>
      </c>
      <c r="K31" s="613">
        <v>1173.6610000000001</v>
      </c>
      <c r="L31" s="614"/>
      <c r="M31" s="615"/>
      <c r="N31" s="602"/>
      <c r="Q31" s="603"/>
      <c r="R31" s="604"/>
      <c r="S31" s="604"/>
      <c r="T31" s="605"/>
    </row>
    <row r="32" spans="1:20" s="619" customFormat="1" x14ac:dyDescent="0.2">
      <c r="A32" s="606" t="s">
        <v>277</v>
      </c>
      <c r="B32" s="607"/>
      <c r="C32" s="608"/>
      <c r="D32" s="617"/>
      <c r="E32" s="617"/>
      <c r="F32" s="618"/>
      <c r="G32" s="610">
        <f>'[7]Podíl na P1'!B30+'[7]Podíl na P1'!B31</f>
        <v>88989</v>
      </c>
      <c r="H32" s="611"/>
      <c r="I32" s="610"/>
      <c r="J32" s="612">
        <f t="shared" si="2"/>
        <v>88989</v>
      </c>
      <c r="K32" s="613">
        <v>83070</v>
      </c>
      <c r="L32" s="614">
        <f>J32/K32*100</f>
        <v>107.12531599855544</v>
      </c>
      <c r="M32" s="615">
        <f t="shared" si="4"/>
        <v>5919</v>
      </c>
      <c r="N32" s="602"/>
      <c r="Q32" s="620"/>
      <c r="R32" s="621"/>
      <c r="S32" s="621"/>
      <c r="T32" s="622"/>
    </row>
    <row r="33" spans="1:20" s="619" customFormat="1" x14ac:dyDescent="0.2">
      <c r="A33" s="606" t="s">
        <v>278</v>
      </c>
      <c r="B33" s="607"/>
      <c r="C33" s="608"/>
      <c r="D33" s="617"/>
      <c r="E33" s="617"/>
      <c r="F33" s="617"/>
      <c r="G33" s="610">
        <f>'[7]Podíl na P1'!B29</f>
        <v>35460</v>
      </c>
      <c r="H33" s="611"/>
      <c r="I33" s="610"/>
      <c r="J33" s="612">
        <f t="shared" si="2"/>
        <v>35460</v>
      </c>
      <c r="K33" s="613">
        <v>31755</v>
      </c>
      <c r="L33" s="614">
        <f>J33/K33*100</f>
        <v>111.66745394426074</v>
      </c>
      <c r="M33" s="615">
        <f t="shared" si="4"/>
        <v>3705</v>
      </c>
      <c r="N33" s="602"/>
      <c r="Q33" s="620"/>
      <c r="R33" s="621"/>
      <c r="S33" s="621"/>
      <c r="T33" s="622"/>
    </row>
    <row r="34" spans="1:20" s="624" customFormat="1" x14ac:dyDescent="0.2">
      <c r="A34" s="606" t="s">
        <v>279</v>
      </c>
      <c r="B34" s="607"/>
      <c r="C34" s="607"/>
      <c r="D34" s="609"/>
      <c r="E34" s="609"/>
      <c r="F34" s="609">
        <v>128</v>
      </c>
      <c r="G34" s="623"/>
      <c r="H34" s="611"/>
      <c r="I34" s="610"/>
      <c r="J34" s="612">
        <f t="shared" si="2"/>
        <v>128</v>
      </c>
      <c r="K34" s="613">
        <v>174</v>
      </c>
      <c r="L34" s="614"/>
      <c r="M34" s="615"/>
      <c r="N34" s="602"/>
      <c r="Q34" s="625"/>
      <c r="R34" s="626"/>
      <c r="S34" s="626"/>
      <c r="T34" s="627"/>
    </row>
    <row r="35" spans="1:20" ht="13.5" thickBot="1" x14ac:dyDescent="0.25">
      <c r="A35" s="628" t="s">
        <v>246</v>
      </c>
      <c r="B35" s="629"/>
      <c r="C35" s="630"/>
      <c r="D35" s="631"/>
      <c r="E35" s="631"/>
      <c r="F35" s="631"/>
      <c r="G35" s="632"/>
      <c r="H35" s="633">
        <f>-SUM(H24:H30)</f>
        <v>4185</v>
      </c>
      <c r="I35" s="632">
        <f>-SUM(I24:I34)</f>
        <v>10499.999999999998</v>
      </c>
      <c r="J35" s="634">
        <f t="shared" si="2"/>
        <v>14684.999999999998</v>
      </c>
      <c r="K35" s="635">
        <v>14703.999999999998</v>
      </c>
      <c r="L35" s="636">
        <f>J35/K35*100</f>
        <v>99.870783460282922</v>
      </c>
      <c r="M35" s="637">
        <f>J35-K35</f>
        <v>-19</v>
      </c>
      <c r="N35" s="602"/>
      <c r="Q35" s="545"/>
      <c r="R35" s="604"/>
      <c r="S35" s="604"/>
      <c r="T35" s="605"/>
    </row>
    <row r="36" spans="1:20" ht="14.25" thickTop="1" thickBot="1" x14ac:dyDescent="0.25">
      <c r="A36" s="638" t="s">
        <v>17</v>
      </c>
      <c r="B36" s="639">
        <f>SUM(B24:B35)</f>
        <v>478198.10000000003</v>
      </c>
      <c r="C36" s="640">
        <f>SUM(C24:C35)</f>
        <v>84387.900000000009</v>
      </c>
      <c r="D36" s="641">
        <f t="shared" ref="D36:K36" si="5">SUM(D24:D35)</f>
        <v>40943</v>
      </c>
      <c r="E36" s="641">
        <f t="shared" si="5"/>
        <v>5585</v>
      </c>
      <c r="F36" s="641">
        <f>SUM(F24:F35)</f>
        <v>125445.99999999999</v>
      </c>
      <c r="G36" s="642">
        <f t="shared" si="5"/>
        <v>0</v>
      </c>
      <c r="H36" s="642">
        <f t="shared" si="5"/>
        <v>0</v>
      </c>
      <c r="I36" s="642">
        <f t="shared" si="5"/>
        <v>0</v>
      </c>
      <c r="J36" s="643">
        <f t="shared" si="5"/>
        <v>734560.00000000012</v>
      </c>
      <c r="K36" s="644">
        <f t="shared" si="5"/>
        <v>679097.74900000065</v>
      </c>
      <c r="L36" s="645">
        <f>J36/K36*100</f>
        <v>108.16704974823874</v>
      </c>
      <c r="M36" s="646">
        <f>SUM(M24:M35)</f>
        <v>55428.731999999327</v>
      </c>
      <c r="N36" s="545"/>
      <c r="O36" s="604"/>
      <c r="P36" s="604"/>
      <c r="Q36" s="605"/>
      <c r="R36" s="647"/>
    </row>
    <row r="37" spans="1:20" x14ac:dyDescent="0.2">
      <c r="C37" s="648">
        <f>B36+C36</f>
        <v>562586</v>
      </c>
      <c r="D37" s="648">
        <f>C37+D36</f>
        <v>603529</v>
      </c>
      <c r="E37" s="648">
        <f>D37+E36</f>
        <v>609114</v>
      </c>
      <c r="F37" s="648">
        <f>E37+F36</f>
        <v>734560</v>
      </c>
      <c r="G37" s="496"/>
      <c r="H37" s="496"/>
      <c r="J37" s="649"/>
      <c r="N37" s="603"/>
      <c r="O37" s="604"/>
      <c r="P37" s="604"/>
      <c r="Q37" s="605"/>
      <c r="R37" s="647"/>
    </row>
    <row r="38" spans="1:20" x14ac:dyDescent="0.2">
      <c r="C38" s="648"/>
      <c r="D38" s="648"/>
      <c r="E38" s="648"/>
      <c r="F38" s="648"/>
      <c r="G38" s="496"/>
      <c r="H38" s="496"/>
      <c r="J38" s="649"/>
      <c r="N38" s="603"/>
      <c r="O38" s="604"/>
      <c r="P38" s="604"/>
      <c r="Q38" s="605"/>
      <c r="R38" s="647"/>
    </row>
    <row r="39" spans="1:20" x14ac:dyDescent="0.2">
      <c r="C39" s="648"/>
      <c r="D39" s="648"/>
      <c r="E39" s="648"/>
      <c r="F39" s="648"/>
      <c r="G39" s="496"/>
      <c r="H39" s="496"/>
      <c r="J39" s="649"/>
      <c r="N39" s="603"/>
      <c r="O39" s="604"/>
      <c r="P39" s="604"/>
      <c r="Q39" s="605"/>
      <c r="R39" s="647"/>
    </row>
    <row r="40" spans="1:20" ht="13.15" customHeight="1" thickBot="1" x14ac:dyDescent="0.25">
      <c r="A40" s="650" t="s">
        <v>280</v>
      </c>
      <c r="G40" s="651"/>
      <c r="H40" s="652"/>
      <c r="I40" s="652"/>
      <c r="J40" s="652"/>
      <c r="K40" s="652"/>
      <c r="L40" s="652"/>
      <c r="M40" s="652"/>
    </row>
    <row r="41" spans="1:20" ht="13.15" customHeight="1" x14ac:dyDescent="0.2">
      <c r="A41" s="653" t="s">
        <v>281</v>
      </c>
      <c r="B41" s="654" t="s">
        <v>282</v>
      </c>
      <c r="C41" s="654" t="s">
        <v>283</v>
      </c>
      <c r="D41" s="654" t="s">
        <v>284</v>
      </c>
      <c r="E41" s="497"/>
      <c r="F41" s="497"/>
      <c r="G41" s="651"/>
      <c r="H41" s="548"/>
      <c r="I41" s="655"/>
      <c r="J41" s="656"/>
      <c r="K41" s="652"/>
      <c r="L41" s="652"/>
      <c r="M41" s="652"/>
      <c r="N41" s="652"/>
      <c r="O41" s="652"/>
      <c r="P41" s="651"/>
    </row>
    <row r="42" spans="1:20" x14ac:dyDescent="0.2">
      <c r="A42" s="657"/>
      <c r="B42" s="658" t="s">
        <v>285</v>
      </c>
      <c r="C42" s="658" t="s">
        <v>286</v>
      </c>
      <c r="D42" s="658" t="s">
        <v>286</v>
      </c>
      <c r="E42" s="497"/>
      <c r="F42" s="497"/>
      <c r="G42" s="651"/>
      <c r="I42" s="652"/>
      <c r="J42" s="652"/>
      <c r="K42" s="652"/>
      <c r="L42" s="652"/>
      <c r="M42" s="652"/>
      <c r="N42" s="652"/>
      <c r="O42" s="652"/>
      <c r="P42" s="651"/>
    </row>
    <row r="43" spans="1:20" x14ac:dyDescent="0.2">
      <c r="A43" s="657"/>
      <c r="B43" s="658" t="s">
        <v>287</v>
      </c>
      <c r="C43" s="658" t="s">
        <v>258</v>
      </c>
      <c r="D43" s="658" t="s">
        <v>258</v>
      </c>
      <c r="E43" s="497"/>
      <c r="F43" s="497"/>
      <c r="G43" s="651"/>
      <c r="H43" s="655"/>
      <c r="I43" s="659"/>
      <c r="J43" s="652"/>
      <c r="K43" s="652"/>
      <c r="L43" s="652"/>
      <c r="M43" s="652"/>
      <c r="N43" s="652"/>
      <c r="O43" s="652"/>
      <c r="P43" s="651"/>
    </row>
    <row r="44" spans="1:20" x14ac:dyDescent="0.2">
      <c r="A44" s="657"/>
      <c r="B44" s="658" t="s">
        <v>288</v>
      </c>
      <c r="C44" s="657" t="s">
        <v>265</v>
      </c>
      <c r="D44" s="657" t="s">
        <v>265</v>
      </c>
      <c r="E44" s="497"/>
      <c r="F44" s="497"/>
      <c r="G44" s="651"/>
      <c r="H44" s="659"/>
      <c r="I44" s="659"/>
      <c r="J44" s="652"/>
      <c r="K44" s="652"/>
      <c r="L44" s="652"/>
      <c r="M44" s="652"/>
      <c r="N44" s="652"/>
      <c r="O44" s="652"/>
      <c r="P44" s="651"/>
    </row>
    <row r="45" spans="1:20" ht="13.5" thickBot="1" x14ac:dyDescent="0.25">
      <c r="A45" s="660"/>
      <c r="B45" s="658" t="s">
        <v>289</v>
      </c>
      <c r="C45" s="661">
        <f>B1</f>
        <v>2020</v>
      </c>
      <c r="D45" s="661">
        <f>B1</f>
        <v>2020</v>
      </c>
      <c r="E45" s="497"/>
      <c r="F45" s="497"/>
      <c r="G45" s="651"/>
      <c r="H45" s="659"/>
      <c r="I45" s="659"/>
      <c r="J45" s="652"/>
      <c r="K45" s="652"/>
      <c r="L45" s="652"/>
      <c r="M45" s="652"/>
      <c r="N45" s="652"/>
      <c r="O45" s="652"/>
      <c r="P45" s="651"/>
    </row>
    <row r="46" spans="1:20" x14ac:dyDescent="0.2">
      <c r="A46" s="662" t="s">
        <v>269</v>
      </c>
      <c r="B46" s="663">
        <v>0.2000461716848364</v>
      </c>
      <c r="C46" s="664">
        <f>ROUND(B46*C53,1000)</f>
        <v>95661.699211962594</v>
      </c>
      <c r="D46" s="664">
        <v>0</v>
      </c>
      <c r="E46" s="497"/>
      <c r="F46" s="497"/>
      <c r="G46" s="651"/>
      <c r="H46" s="659"/>
      <c r="I46" s="659"/>
      <c r="J46" s="652"/>
      <c r="K46" s="652"/>
      <c r="L46" s="652"/>
      <c r="M46" s="652"/>
      <c r="N46" s="652"/>
      <c r="O46" s="652"/>
      <c r="P46" s="651"/>
    </row>
    <row r="47" spans="1:20" x14ac:dyDescent="0.2">
      <c r="A47" s="665" t="s">
        <v>270</v>
      </c>
      <c r="B47" s="666">
        <v>4.1693008056199465E-2</v>
      </c>
      <c r="C47" s="667">
        <f>ROUND(B47*C53,1000)</f>
        <v>19937.5172357593</v>
      </c>
      <c r="D47" s="667">
        <v>0</v>
      </c>
      <c r="E47" s="497"/>
      <c r="F47" s="497"/>
      <c r="G47" s="651"/>
      <c r="H47" s="659"/>
      <c r="I47" s="659"/>
      <c r="J47" s="652"/>
      <c r="K47" s="652"/>
      <c r="L47" s="652"/>
      <c r="M47" s="652"/>
      <c r="N47" s="652"/>
      <c r="O47" s="652"/>
      <c r="P47" s="651"/>
    </row>
    <row r="48" spans="1:20" x14ac:dyDescent="0.2">
      <c r="A48" s="665" t="s">
        <v>271</v>
      </c>
      <c r="B48" s="666">
        <v>0.18702033607593446</v>
      </c>
      <c r="C48" s="667">
        <f>ROUND(B48*C53,1000)</f>
        <v>89432.769372873299</v>
      </c>
      <c r="D48" s="667">
        <v>0</v>
      </c>
      <c r="E48" s="497"/>
      <c r="F48" s="497"/>
      <c r="G48" s="651"/>
      <c r="H48" s="659"/>
      <c r="I48" s="659"/>
      <c r="J48" s="652"/>
      <c r="K48" s="652"/>
      <c r="L48" s="652"/>
      <c r="M48" s="652"/>
      <c r="N48" s="652"/>
      <c r="O48" s="652"/>
      <c r="P48" s="651"/>
    </row>
    <row r="49" spans="1:16" x14ac:dyDescent="0.2">
      <c r="A49" s="665" t="s">
        <v>272</v>
      </c>
      <c r="B49" s="666">
        <v>0.2404881970105594</v>
      </c>
      <c r="C49" s="667">
        <f>ROUND(B49*C53,1000)</f>
        <v>115000.99888287501</v>
      </c>
      <c r="D49" s="667">
        <v>0</v>
      </c>
      <c r="E49" s="497"/>
      <c r="F49" s="497"/>
      <c r="G49" s="651"/>
      <c r="H49" s="659"/>
      <c r="I49" s="659"/>
      <c r="J49" s="652"/>
      <c r="K49" s="652"/>
      <c r="L49" s="652"/>
      <c r="M49" s="652"/>
      <c r="N49" s="652"/>
      <c r="O49" s="652"/>
      <c r="P49" s="651"/>
    </row>
    <row r="50" spans="1:16" x14ac:dyDescent="0.2">
      <c r="A50" s="665" t="s">
        <v>273</v>
      </c>
      <c r="B50" s="666">
        <v>0.23965916079899277</v>
      </c>
      <c r="C50" s="667">
        <f>ROUND(B50*C53,1000)</f>
        <v>114604.555341673</v>
      </c>
      <c r="D50" s="667">
        <v>0</v>
      </c>
      <c r="E50" s="497"/>
      <c r="F50" s="497"/>
      <c r="G50" s="651"/>
      <c r="H50" s="652"/>
      <c r="I50" s="652"/>
      <c r="J50" s="652"/>
      <c r="K50" s="652"/>
      <c r="L50" s="652"/>
      <c r="M50" s="652"/>
      <c r="N50" s="652"/>
      <c r="O50" s="652"/>
      <c r="P50" s="651"/>
    </row>
    <row r="51" spans="1:16" x14ac:dyDescent="0.2">
      <c r="A51" s="665" t="s">
        <v>274</v>
      </c>
      <c r="B51" s="666">
        <v>9.109312637347744E-2</v>
      </c>
      <c r="C51" s="667">
        <f>ROUND(B51*C53,1000)</f>
        <v>43560.559954856799</v>
      </c>
      <c r="D51" s="667">
        <v>0</v>
      </c>
      <c r="E51" s="497"/>
      <c r="F51" s="497"/>
      <c r="G51" s="651"/>
      <c r="H51" s="652"/>
      <c r="I51" s="652"/>
      <c r="J51" s="652"/>
      <c r="K51" s="652"/>
      <c r="L51" s="652"/>
      <c r="M51" s="652"/>
      <c r="N51" s="652"/>
      <c r="O51" s="652"/>
      <c r="P51" s="651"/>
    </row>
    <row r="52" spans="1:16" ht="13.5" thickBot="1" x14ac:dyDescent="0.25">
      <c r="A52" s="668" t="s">
        <v>275</v>
      </c>
      <c r="B52" s="669">
        <v>0</v>
      </c>
      <c r="C52" s="670">
        <f>ROUND(B52*C54,1000)</f>
        <v>0</v>
      </c>
      <c r="D52" s="671">
        <v>0</v>
      </c>
      <c r="E52" s="497"/>
      <c r="F52" s="497"/>
      <c r="I52" s="651"/>
      <c r="J52" s="652"/>
      <c r="K52" s="652"/>
      <c r="L52" s="652"/>
      <c r="M52" s="652"/>
      <c r="N52" s="652"/>
      <c r="O52" s="652"/>
      <c r="P52" s="651"/>
    </row>
    <row r="53" spans="1:16" ht="13.5" thickBot="1" x14ac:dyDescent="0.25">
      <c r="A53" s="672" t="s">
        <v>17</v>
      </c>
      <c r="B53" s="673">
        <f>SUM(B46:B52)</f>
        <v>1</v>
      </c>
      <c r="C53" s="674">
        <f>E5</f>
        <v>478198.1</v>
      </c>
      <c r="D53" s="674">
        <f>SUM(D46:D52)</f>
        <v>0</v>
      </c>
      <c r="E53" s="562"/>
      <c r="F53" s="562"/>
      <c r="G53" s="562"/>
      <c r="H53" s="562"/>
      <c r="I53" s="562"/>
    </row>
    <row r="54" spans="1:16" x14ac:dyDescent="0.2">
      <c r="A54" s="562"/>
      <c r="B54" s="562"/>
      <c r="C54" s="562"/>
      <c r="D54" s="562"/>
      <c r="E54" s="562"/>
      <c r="F54" s="562"/>
      <c r="G54" s="562"/>
      <c r="H54" s="562"/>
      <c r="I54" s="562"/>
      <c r="J54" s="562"/>
    </row>
    <row r="55" spans="1:16" x14ac:dyDescent="0.2">
      <c r="A55" s="562"/>
      <c r="B55" s="562"/>
      <c r="C55" s="562"/>
      <c r="D55" s="562"/>
      <c r="E55" s="562"/>
      <c r="F55" s="562"/>
      <c r="G55" s="562"/>
      <c r="H55" s="562"/>
      <c r="I55" s="562"/>
      <c r="J55" s="562"/>
    </row>
    <row r="56" spans="1:16" x14ac:dyDescent="0.2">
      <c r="A56" s="562"/>
      <c r="B56" s="562"/>
      <c r="C56" s="562"/>
      <c r="D56" s="562"/>
      <c r="E56" s="562"/>
      <c r="F56" s="562"/>
      <c r="G56" s="562"/>
      <c r="H56" s="562"/>
      <c r="I56" s="562"/>
      <c r="J56" s="562"/>
    </row>
    <row r="57" spans="1:16" x14ac:dyDescent="0.2">
      <c r="A57" s="562"/>
      <c r="B57" s="675"/>
      <c r="C57" s="675"/>
      <c r="D57" s="675"/>
      <c r="E57" s="562"/>
      <c r="F57" s="562"/>
      <c r="G57" s="562"/>
      <c r="H57" s="562"/>
      <c r="I57" s="562"/>
      <c r="J57" s="562"/>
    </row>
    <row r="58" spans="1:16" x14ac:dyDescent="0.2">
      <c r="A58" s="676"/>
      <c r="B58" s="677"/>
      <c r="C58" s="677"/>
      <c r="D58" s="678"/>
      <c r="E58" s="679"/>
      <c r="F58" s="679"/>
      <c r="G58" s="679"/>
      <c r="H58" s="679"/>
      <c r="I58" s="562"/>
      <c r="J58" s="562"/>
    </row>
    <row r="59" spans="1:16" s="499" customFormat="1" x14ac:dyDescent="0.2">
      <c r="A59" s="680"/>
      <c r="B59" s="681"/>
      <c r="C59" s="681"/>
      <c r="D59" s="682"/>
      <c r="E59" s="683"/>
      <c r="F59" s="683"/>
      <c r="G59" s="683"/>
      <c r="H59" s="683"/>
      <c r="I59" s="683"/>
      <c r="J59" s="683"/>
    </row>
    <row r="60" spans="1:16" x14ac:dyDescent="0.2">
      <c r="A60" s="562"/>
      <c r="C60" s="562"/>
      <c r="D60" s="562"/>
      <c r="E60" s="562"/>
      <c r="F60" s="562"/>
      <c r="G60" s="562"/>
      <c r="H60" s="562"/>
      <c r="I60" s="562"/>
      <c r="J60" s="562"/>
    </row>
    <row r="61" spans="1:16" x14ac:dyDescent="0.2">
      <c r="A61" s="562"/>
      <c r="B61" s="562"/>
      <c r="C61" s="562"/>
      <c r="D61" s="562"/>
      <c r="E61" s="562"/>
      <c r="F61" s="562"/>
      <c r="G61" s="562"/>
      <c r="H61" s="562"/>
      <c r="I61" s="562"/>
      <c r="J61" s="562"/>
    </row>
    <row r="62" spans="1:16" x14ac:dyDescent="0.2">
      <c r="A62" s="562"/>
      <c r="B62" s="562"/>
      <c r="C62" s="562"/>
      <c r="D62" s="562"/>
      <c r="E62" s="562"/>
      <c r="F62" s="562"/>
      <c r="G62" s="562"/>
      <c r="H62" s="562"/>
      <c r="I62" s="562"/>
      <c r="J62" s="562"/>
    </row>
    <row r="63" spans="1:16" x14ac:dyDescent="0.2">
      <c r="A63" s="562"/>
      <c r="B63" s="562"/>
      <c r="C63" s="562"/>
      <c r="D63" s="562"/>
      <c r="E63" s="562"/>
      <c r="F63" s="562"/>
      <c r="G63" s="562"/>
      <c r="H63" s="562"/>
      <c r="I63" s="562"/>
      <c r="J63" s="562"/>
    </row>
    <row r="64" spans="1:16" x14ac:dyDescent="0.2">
      <c r="A64" s="562"/>
      <c r="B64" s="562"/>
      <c r="C64" s="562"/>
      <c r="D64" s="562"/>
      <c r="E64" s="562"/>
      <c r="F64" s="562"/>
      <c r="G64" s="562"/>
      <c r="H64" s="562"/>
      <c r="I64" s="562"/>
      <c r="J64" s="562"/>
    </row>
    <row r="65" spans="1:10" x14ac:dyDescent="0.2">
      <c r="A65" s="562"/>
      <c r="B65" s="562"/>
      <c r="C65" s="562"/>
      <c r="D65" s="562"/>
      <c r="E65" s="562"/>
      <c r="F65" s="562"/>
      <c r="G65" s="562"/>
      <c r="H65" s="562"/>
      <c r="I65" s="562"/>
      <c r="J65" s="562"/>
    </row>
    <row r="66" spans="1:10" x14ac:dyDescent="0.2">
      <c r="A66" s="562"/>
      <c r="B66" s="562"/>
      <c r="C66" s="562"/>
      <c r="D66" s="562"/>
      <c r="E66" s="562"/>
      <c r="F66" s="562"/>
      <c r="G66" s="562"/>
      <c r="H66" s="562"/>
      <c r="I66" s="562"/>
      <c r="J66" s="562"/>
    </row>
    <row r="67" spans="1:10" x14ac:dyDescent="0.2">
      <c r="A67" s="562"/>
      <c r="B67" s="562"/>
      <c r="C67" s="562"/>
      <c r="D67" s="562"/>
      <c r="E67" s="562"/>
      <c r="F67" s="562"/>
      <c r="G67" s="562"/>
      <c r="H67" s="562"/>
      <c r="I67" s="562"/>
      <c r="J67" s="562"/>
    </row>
    <row r="68" spans="1:10" x14ac:dyDescent="0.2">
      <c r="A68" s="562"/>
      <c r="B68" s="562"/>
      <c r="C68" s="562"/>
      <c r="D68" s="562"/>
      <c r="E68" s="562"/>
      <c r="F68" s="562"/>
      <c r="G68" s="562"/>
      <c r="H68" s="562"/>
      <c r="I68" s="562"/>
      <c r="J68" s="562"/>
    </row>
    <row r="69" spans="1:10" x14ac:dyDescent="0.2">
      <c r="A69" s="562"/>
      <c r="B69" s="562"/>
      <c r="C69" s="562"/>
      <c r="D69" s="562"/>
      <c r="E69" s="562"/>
      <c r="F69" s="562"/>
      <c r="G69" s="562"/>
      <c r="H69" s="562"/>
      <c r="I69" s="562"/>
      <c r="J69" s="562"/>
    </row>
    <row r="70" spans="1:10" x14ac:dyDescent="0.2">
      <c r="A70" s="562"/>
      <c r="B70" s="562"/>
      <c r="C70" s="562"/>
      <c r="D70" s="562"/>
      <c r="E70" s="562"/>
      <c r="F70" s="562"/>
      <c r="G70" s="562"/>
      <c r="H70" s="562"/>
      <c r="I70" s="562"/>
      <c r="J70" s="562"/>
    </row>
    <row r="71" spans="1:10" x14ac:dyDescent="0.2">
      <c r="A71" s="562"/>
      <c r="B71" s="562"/>
      <c r="C71" s="562"/>
      <c r="D71" s="562"/>
      <c r="E71" s="562"/>
      <c r="F71" s="562"/>
      <c r="G71" s="562"/>
      <c r="H71" s="562"/>
      <c r="I71" s="562"/>
      <c r="J71" s="562"/>
    </row>
    <row r="72" spans="1:10" x14ac:dyDescent="0.2">
      <c r="A72" s="562"/>
      <c r="B72" s="562"/>
      <c r="C72" s="562"/>
      <c r="D72" s="562"/>
      <c r="E72" s="562"/>
      <c r="F72" s="562"/>
      <c r="G72" s="562"/>
      <c r="H72" s="562"/>
      <c r="I72" s="562"/>
      <c r="J72" s="562"/>
    </row>
    <row r="73" spans="1:10" x14ac:dyDescent="0.2">
      <c r="A73" s="562"/>
      <c r="B73" s="562"/>
      <c r="C73" s="562"/>
      <c r="D73" s="562"/>
      <c r="E73" s="562"/>
      <c r="F73" s="562"/>
      <c r="G73" s="562"/>
      <c r="H73" s="562"/>
      <c r="I73" s="562"/>
      <c r="J73" s="562"/>
    </row>
    <row r="74" spans="1:10" x14ac:dyDescent="0.2">
      <c r="A74" s="562"/>
      <c r="B74" s="562"/>
      <c r="C74" s="562"/>
      <c r="D74" s="562"/>
      <c r="E74" s="562"/>
      <c r="F74" s="562"/>
      <c r="G74" s="562"/>
      <c r="H74" s="562"/>
      <c r="I74" s="562"/>
      <c r="J74" s="562"/>
    </row>
    <row r="75" spans="1:10" x14ac:dyDescent="0.2">
      <c r="A75" s="562"/>
      <c r="B75" s="562"/>
      <c r="C75" s="562"/>
      <c r="D75" s="562"/>
      <c r="E75" s="562"/>
      <c r="F75" s="562"/>
      <c r="G75" s="562"/>
      <c r="H75" s="562"/>
      <c r="I75" s="562"/>
      <c r="J75" s="562"/>
    </row>
    <row r="76" spans="1:10" x14ac:dyDescent="0.2">
      <c r="A76" s="562"/>
      <c r="B76" s="562"/>
      <c r="C76" s="562"/>
      <c r="D76" s="562"/>
      <c r="E76" s="562"/>
      <c r="F76" s="562"/>
      <c r="G76" s="562"/>
      <c r="H76" s="562"/>
      <c r="I76" s="562"/>
      <c r="J76" s="562"/>
    </row>
    <row r="77" spans="1:10" x14ac:dyDescent="0.2">
      <c r="A77" s="562"/>
      <c r="B77" s="562"/>
      <c r="C77" s="562"/>
      <c r="D77" s="562"/>
      <c r="E77" s="562"/>
      <c r="F77" s="562"/>
      <c r="G77" s="562"/>
      <c r="H77" s="562"/>
      <c r="I77" s="562"/>
      <c r="J77" s="562"/>
    </row>
    <row r="78" spans="1:10" x14ac:dyDescent="0.2">
      <c r="A78" s="562"/>
      <c r="B78" s="562"/>
      <c r="C78" s="562"/>
      <c r="D78" s="562"/>
      <c r="E78" s="562"/>
      <c r="F78" s="562"/>
      <c r="G78" s="562"/>
      <c r="H78" s="562"/>
      <c r="I78" s="562"/>
      <c r="J78" s="562"/>
    </row>
    <row r="79" spans="1:10" x14ac:dyDescent="0.2">
      <c r="A79" s="562"/>
      <c r="B79" s="562"/>
      <c r="C79" s="562"/>
      <c r="D79" s="562"/>
      <c r="E79" s="562"/>
      <c r="F79" s="562"/>
      <c r="G79" s="562"/>
      <c r="H79" s="562"/>
      <c r="I79" s="562"/>
      <c r="J79" s="562"/>
    </row>
    <row r="80" spans="1:10" x14ac:dyDescent="0.2">
      <c r="A80" s="562"/>
      <c r="B80" s="562"/>
      <c r="C80" s="562"/>
      <c r="D80" s="562"/>
      <c r="E80" s="562"/>
      <c r="F80" s="562"/>
      <c r="G80" s="562"/>
      <c r="H80" s="562"/>
      <c r="I80" s="562"/>
      <c r="J80" s="562"/>
    </row>
    <row r="81" spans="1:10" x14ac:dyDescent="0.2">
      <c r="A81" s="562"/>
      <c r="B81" s="562"/>
      <c r="C81" s="562"/>
      <c r="D81" s="562"/>
      <c r="E81" s="562"/>
      <c r="F81" s="562"/>
      <c r="G81" s="562"/>
      <c r="H81" s="562"/>
      <c r="I81" s="562"/>
      <c r="J81" s="562"/>
    </row>
    <row r="82" spans="1:10" x14ac:dyDescent="0.2">
      <c r="A82" s="562"/>
      <c r="B82" s="562"/>
      <c r="C82" s="562"/>
      <c r="D82" s="562"/>
      <c r="E82" s="562"/>
      <c r="F82" s="562"/>
      <c r="G82" s="562"/>
      <c r="H82" s="562"/>
      <c r="I82" s="562"/>
      <c r="J82" s="562"/>
    </row>
    <row r="83" spans="1:10" x14ac:dyDescent="0.2">
      <c r="D83" s="562"/>
      <c r="E83" s="562"/>
      <c r="F83" s="562"/>
      <c r="G83" s="562"/>
      <c r="H83" s="562"/>
      <c r="I83" s="562"/>
      <c r="J83" s="562"/>
    </row>
    <row r="84" spans="1:10" x14ac:dyDescent="0.2">
      <c r="D84" s="562"/>
      <c r="E84" s="562"/>
      <c r="F84" s="562"/>
      <c r="G84" s="562"/>
      <c r="H84" s="562"/>
      <c r="I84" s="562"/>
      <c r="J84" s="562"/>
    </row>
    <row r="85" spans="1:10" x14ac:dyDescent="0.2">
      <c r="D85" s="562"/>
      <c r="E85" s="562"/>
      <c r="F85" s="562"/>
      <c r="G85" s="562"/>
      <c r="H85" s="562"/>
      <c r="I85" s="562"/>
      <c r="J85" s="562"/>
    </row>
  </sheetData>
  <pageMargins left="0.59055118110236227" right="0" top="0.59055118110236227" bottom="0.78740157480314965" header="0.51181102362204722" footer="0.51181102362204722"/>
  <pageSetup paperSize="9" scale="62" orientation="landscape" horizontalDpi="4294967295" r:id="rId1"/>
  <headerFooter alignWithMargins="0">
    <oddFooter>&amp;Lstr. &amp;P z &amp;N&amp;Rsoubor &amp;F; list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L22"/>
  <sheetViews>
    <sheetView workbookViewId="0"/>
  </sheetViews>
  <sheetFormatPr defaultRowHeight="12.75" x14ac:dyDescent="0.2"/>
  <cols>
    <col min="1" max="1" width="61.7109375" customWidth="1"/>
    <col min="2" max="2" width="14.28515625" customWidth="1"/>
    <col min="7" max="7" width="37.28515625" customWidth="1"/>
    <col min="8" max="9" width="10.7109375" customWidth="1"/>
  </cols>
  <sheetData>
    <row r="1" spans="1:12" ht="15" customHeight="1" x14ac:dyDescent="0.25">
      <c r="A1" s="101" t="s">
        <v>396</v>
      </c>
    </row>
    <row r="2" spans="1:12" ht="15" customHeight="1" x14ac:dyDescent="0.2"/>
    <row r="3" spans="1:12" s="54" customFormat="1" ht="14.1" customHeight="1" thickBot="1" x14ac:dyDescent="0.25">
      <c r="A3" s="93" t="s">
        <v>19</v>
      </c>
      <c r="B3" s="53" t="s">
        <v>105</v>
      </c>
    </row>
    <row r="4" spans="1:12" s="68" customFormat="1" ht="14.1" customHeight="1" thickTop="1" x14ac:dyDescent="0.2">
      <c r="A4" s="131" t="s">
        <v>397</v>
      </c>
      <c r="B4" s="169">
        <f>'tab A-2023'!B24</f>
        <v>122651000</v>
      </c>
      <c r="L4" s="132"/>
    </row>
    <row r="5" spans="1:12" s="68" customFormat="1" ht="14.1" customHeight="1" x14ac:dyDescent="0.2">
      <c r="A5" s="133" t="s">
        <v>398</v>
      </c>
      <c r="B5" s="170">
        <f>'tab A-2023'!B25</f>
        <v>-5180000</v>
      </c>
      <c r="L5" s="132"/>
    </row>
    <row r="6" spans="1:12" s="68" customFormat="1" ht="14.1" customHeight="1" x14ac:dyDescent="0.2">
      <c r="A6" s="133" t="s">
        <v>399</v>
      </c>
      <c r="B6" s="170">
        <f>'tab A-2023'!B26</f>
        <v>-228000</v>
      </c>
      <c r="L6" s="132"/>
    </row>
    <row r="7" spans="1:12" s="68" customFormat="1" ht="14.1" customHeight="1" x14ac:dyDescent="0.2">
      <c r="A7" s="133" t="s">
        <v>400</v>
      </c>
      <c r="B7" s="170">
        <f>'tab A-2023'!B27</f>
        <v>-548000</v>
      </c>
      <c r="L7" s="132"/>
    </row>
    <row r="8" spans="1:12" s="68" customFormat="1" ht="14.1" customHeight="1" thickBot="1" x14ac:dyDescent="0.25">
      <c r="A8" s="134" t="s">
        <v>46</v>
      </c>
      <c r="B8" s="171">
        <f>'tab A-2023'!C29</f>
        <v>0</v>
      </c>
      <c r="L8" s="132"/>
    </row>
    <row r="9" spans="1:12" s="68" customFormat="1" ht="14.1" customHeight="1" thickBot="1" x14ac:dyDescent="0.25">
      <c r="A9" s="135" t="s">
        <v>73</v>
      </c>
      <c r="B9" s="172">
        <f>B4+B5+B6+B7+B8</f>
        <v>116695000</v>
      </c>
      <c r="L9" s="132"/>
    </row>
    <row r="10" spans="1:12" s="68" customFormat="1" ht="14.1" customHeight="1" x14ac:dyDescent="0.2">
      <c r="A10" s="136" t="s">
        <v>321</v>
      </c>
      <c r="B10" s="173">
        <f>-Garantovana_mista_2023!B50</f>
        <v>-22418466.735599998</v>
      </c>
      <c r="C10" s="68" t="s">
        <v>401</v>
      </c>
    </row>
    <row r="11" spans="1:12" s="68" customFormat="1" ht="14.1" customHeight="1" x14ac:dyDescent="0.2">
      <c r="A11" s="136" t="s">
        <v>100</v>
      </c>
      <c r="B11" s="173">
        <f>-Garantovana_mista_2023!B48</f>
        <v>-79684788.559200019</v>
      </c>
      <c r="C11" s="68" t="s">
        <v>290</v>
      </c>
    </row>
    <row r="12" spans="1:12" s="68" customFormat="1" ht="14.1" customHeight="1" x14ac:dyDescent="0.2">
      <c r="A12" s="136" t="s">
        <v>101</v>
      </c>
      <c r="B12" s="173">
        <f>-Garantovana_mista_2023!B49</f>
        <v>-2903861.4000000004</v>
      </c>
      <c r="C12" s="68" t="s">
        <v>290</v>
      </c>
    </row>
    <row r="13" spans="1:12" s="68" customFormat="1" ht="14.1" customHeight="1" x14ac:dyDescent="0.2">
      <c r="A13" s="136" t="s">
        <v>332</v>
      </c>
      <c r="B13" s="173">
        <v>-250000</v>
      </c>
    </row>
    <row r="14" spans="1:12" s="68" customFormat="1" ht="14.1" customHeight="1" x14ac:dyDescent="0.2">
      <c r="A14" s="136" t="s">
        <v>130</v>
      </c>
      <c r="B14" s="173">
        <f>-((8*1000*10)+(1*2000*10))*1.338</f>
        <v>-133800</v>
      </c>
      <c r="C14" s="68" t="s">
        <v>131</v>
      </c>
    </row>
    <row r="15" spans="1:12" s="68" customFormat="1" ht="14.1" customHeight="1" x14ac:dyDescent="0.2">
      <c r="A15" s="136" t="s">
        <v>108</v>
      </c>
      <c r="B15" s="173">
        <v>0</v>
      </c>
      <c r="C15" s="1382" t="s">
        <v>389</v>
      </c>
      <c r="D15" s="1382"/>
      <c r="E15" s="1382"/>
      <c r="F15" s="1382"/>
    </row>
    <row r="16" spans="1:12" s="68" customFormat="1" ht="14.1" customHeight="1" x14ac:dyDescent="0.2">
      <c r="A16" s="137" t="s">
        <v>20</v>
      </c>
      <c r="B16" s="170">
        <f>-'Opravy 2023'!C22</f>
        <v>-170000</v>
      </c>
      <c r="C16" s="68" t="s">
        <v>21</v>
      </c>
    </row>
    <row r="17" spans="1:9" s="68" customFormat="1" ht="14.1" customHeight="1" x14ac:dyDescent="0.2">
      <c r="A17" s="133" t="s">
        <v>22</v>
      </c>
      <c r="B17" s="170">
        <v>0</v>
      </c>
      <c r="C17" s="1382" t="s">
        <v>390</v>
      </c>
      <c r="D17" s="1382"/>
      <c r="E17" s="1382"/>
      <c r="F17" s="1382"/>
    </row>
    <row r="18" spans="1:9" s="68" customFormat="1" ht="14.1" customHeight="1" x14ac:dyDescent="0.2">
      <c r="A18" s="134" t="s">
        <v>109</v>
      </c>
      <c r="B18" s="171">
        <v>0</v>
      </c>
      <c r="C18" s="1382" t="s">
        <v>416</v>
      </c>
      <c r="D18" s="1382"/>
      <c r="E18" s="1382"/>
      <c r="F18" s="1382"/>
    </row>
    <row r="19" spans="1:9" s="68" customFormat="1" ht="14.1" customHeight="1" x14ac:dyDescent="0.2">
      <c r="A19" s="134" t="s">
        <v>132</v>
      </c>
      <c r="B19" s="171">
        <v>0</v>
      </c>
      <c r="C19" s="1382" t="s">
        <v>435</v>
      </c>
      <c r="D19" s="1382"/>
      <c r="E19" s="1382"/>
      <c r="F19" s="1382"/>
    </row>
    <row r="20" spans="1:9" s="68" customFormat="1" ht="14.1" customHeight="1" thickBot="1" x14ac:dyDescent="0.25">
      <c r="A20" s="134" t="s">
        <v>23</v>
      </c>
      <c r="B20" s="171">
        <f>-'Provoz 2023'!B24</f>
        <v>-3472000</v>
      </c>
      <c r="C20" s="68" t="s">
        <v>24</v>
      </c>
      <c r="F20" s="49"/>
      <c r="G20" s="49"/>
      <c r="H20" s="49"/>
      <c r="I20" s="49"/>
    </row>
    <row r="21" spans="1:9" s="68" customFormat="1" ht="14.1" customHeight="1" x14ac:dyDescent="0.2">
      <c r="A21" s="138" t="s">
        <v>72</v>
      </c>
      <c r="B21" s="174">
        <f>SUM(B9:B20)</f>
        <v>7662083.3051999863</v>
      </c>
      <c r="F21" s="49"/>
      <c r="G21" s="49"/>
      <c r="H21" s="49"/>
      <c r="I21" s="49"/>
    </row>
    <row r="22" spans="1:9" s="52" customFormat="1" x14ac:dyDescent="0.2">
      <c r="B22" s="205"/>
      <c r="F22"/>
      <c r="G22"/>
      <c r="H22"/>
      <c r="I22"/>
    </row>
  </sheetData>
  <pageMargins left="0.7" right="0.7" top="0.75" bottom="0.75" header="0.3" footer="0.3"/>
  <pageSetup paperSize="9" scale="89" orientation="landscape" r:id="rId1"/>
  <headerFooter>
    <oddFooter>&amp;C&amp;8&amp;A&amp;R&amp;8&amp;F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T42"/>
  <sheetViews>
    <sheetView zoomScaleNormal="100" workbookViewId="0"/>
  </sheetViews>
  <sheetFormatPr defaultRowHeight="12.75" x14ac:dyDescent="0.2"/>
  <cols>
    <col min="2" max="2" width="38.5703125" customWidth="1"/>
    <col min="3" max="3" width="14.42578125" bestFit="1" customWidth="1"/>
    <col min="4" max="4" width="11.85546875" bestFit="1" customWidth="1"/>
    <col min="5" max="5" width="10.7109375" customWidth="1"/>
    <col min="6" max="7" width="10.28515625" customWidth="1"/>
    <col min="8" max="8" width="10.7109375" customWidth="1"/>
    <col min="9" max="9" width="10.140625" customWidth="1"/>
    <col min="10" max="10" width="10.28515625" customWidth="1"/>
    <col min="11" max="11" width="13.5703125" customWidth="1"/>
    <col min="12" max="13" width="10" customWidth="1"/>
    <col min="14" max="14" width="10.7109375" customWidth="1"/>
    <col min="15" max="15" width="10.140625" bestFit="1" customWidth="1"/>
    <col min="17" max="17" width="12" customWidth="1"/>
  </cols>
  <sheetData>
    <row r="1" spans="1:4" ht="15.75" x14ac:dyDescent="0.25">
      <c r="A1" s="415" t="s">
        <v>154</v>
      </c>
      <c r="C1" s="333">
        <f>'Rozpis P2 a děkanátu 2023'!B21</f>
        <v>7662083.3051999863</v>
      </c>
    </row>
    <row r="2" spans="1:4" x14ac:dyDescent="0.2">
      <c r="A2" s="334"/>
      <c r="C2" s="333"/>
    </row>
    <row r="3" spans="1:4" ht="13.5" thickBot="1" x14ac:dyDescent="0.25">
      <c r="A3" s="437"/>
      <c r="B3" s="437" t="s">
        <v>155</v>
      </c>
      <c r="C3" s="438" t="s">
        <v>156</v>
      </c>
      <c r="D3" s="439" t="s">
        <v>105</v>
      </c>
    </row>
    <row r="4" spans="1:4" ht="13.5" thickTop="1" x14ac:dyDescent="0.2">
      <c r="A4" s="1413" t="s">
        <v>163</v>
      </c>
      <c r="B4" s="440" t="s">
        <v>157</v>
      </c>
      <c r="C4" s="441">
        <v>0.15</v>
      </c>
      <c r="D4" s="442">
        <f>$C$1*C4</f>
        <v>1149312.4957799979</v>
      </c>
    </row>
    <row r="5" spans="1:4" x14ac:dyDescent="0.2">
      <c r="A5" s="1414"/>
      <c r="B5" s="443" t="s">
        <v>158</v>
      </c>
      <c r="C5" s="444">
        <v>0.15</v>
      </c>
      <c r="D5" s="445">
        <f t="shared" ref="D5:D17" si="0">$C$1*C5</f>
        <v>1149312.4957799979</v>
      </c>
    </row>
    <row r="6" spans="1:4" x14ac:dyDescent="0.2">
      <c r="A6" s="1414"/>
      <c r="B6" s="440" t="s">
        <v>159</v>
      </c>
      <c r="C6" s="444">
        <v>0.1</v>
      </c>
      <c r="D6" s="445">
        <f t="shared" si="0"/>
        <v>766208.33051999868</v>
      </c>
    </row>
    <row r="7" spans="1:4" x14ac:dyDescent="0.2">
      <c r="A7" s="1414"/>
      <c r="B7" s="446" t="s">
        <v>160</v>
      </c>
      <c r="C7" s="444">
        <v>0.05</v>
      </c>
      <c r="D7" s="445">
        <f t="shared" si="0"/>
        <v>383104.16525999934</v>
      </c>
    </row>
    <row r="8" spans="1:4" x14ac:dyDescent="0.2">
      <c r="A8" s="1415"/>
      <c r="B8" s="443" t="s">
        <v>161</v>
      </c>
      <c r="C8" s="444">
        <v>0.05</v>
      </c>
      <c r="D8" s="445">
        <f t="shared" si="0"/>
        <v>383104.16525999934</v>
      </c>
    </row>
    <row r="9" spans="1:4" x14ac:dyDescent="0.2">
      <c r="A9" s="1416" t="s">
        <v>211</v>
      </c>
      <c r="B9" s="447" t="s">
        <v>162</v>
      </c>
      <c r="C9" s="448">
        <v>0.12</v>
      </c>
      <c r="D9" s="449">
        <f t="shared" si="0"/>
        <v>919449.99662399828</v>
      </c>
    </row>
    <row r="10" spans="1:4" x14ac:dyDescent="0.2">
      <c r="A10" s="1417"/>
      <c r="B10" s="447" t="s">
        <v>309</v>
      </c>
      <c r="C10" s="450">
        <v>0.05</v>
      </c>
      <c r="D10" s="449">
        <f t="shared" si="0"/>
        <v>383104.16525999934</v>
      </c>
    </row>
    <row r="11" spans="1:4" x14ac:dyDescent="0.2">
      <c r="A11" s="1417"/>
      <c r="B11" s="451" t="s">
        <v>310</v>
      </c>
      <c r="C11" s="448">
        <v>0.06</v>
      </c>
      <c r="D11" s="449">
        <f t="shared" si="0"/>
        <v>459724.99831199914</v>
      </c>
    </row>
    <row r="12" spans="1:4" x14ac:dyDescent="0.2">
      <c r="A12" s="1417"/>
      <c r="B12" s="451" t="s">
        <v>306</v>
      </c>
      <c r="C12" s="450">
        <v>7.0000000000000007E-2</v>
      </c>
      <c r="D12" s="449">
        <f t="shared" si="0"/>
        <v>536345.83136399905</v>
      </c>
    </row>
    <row r="13" spans="1:4" x14ac:dyDescent="0.2">
      <c r="A13" s="1417"/>
      <c r="B13" s="451" t="s">
        <v>307</v>
      </c>
      <c r="C13" s="450">
        <v>7.0000000000000007E-2</v>
      </c>
      <c r="D13" s="449">
        <f t="shared" si="0"/>
        <v>536345.83136399905</v>
      </c>
    </row>
    <row r="14" spans="1:4" x14ac:dyDescent="0.2">
      <c r="A14" s="1418"/>
      <c r="B14" s="447" t="s">
        <v>308</v>
      </c>
      <c r="C14" s="450">
        <v>0.03</v>
      </c>
      <c r="D14" s="449">
        <f t="shared" si="0"/>
        <v>229862.49915599957</v>
      </c>
    </row>
    <row r="15" spans="1:4" x14ac:dyDescent="0.2">
      <c r="A15" s="1419" t="s">
        <v>164</v>
      </c>
      <c r="B15" s="452" t="s">
        <v>69</v>
      </c>
      <c r="C15" s="453">
        <v>0.04</v>
      </c>
      <c r="D15" s="454">
        <f t="shared" si="0"/>
        <v>306483.33220799948</v>
      </c>
    </row>
    <row r="16" spans="1:4" x14ac:dyDescent="0.2">
      <c r="A16" s="1420"/>
      <c r="B16" s="455" t="s">
        <v>70</v>
      </c>
      <c r="C16" s="453">
        <v>0.04</v>
      </c>
      <c r="D16" s="454">
        <f t="shared" si="0"/>
        <v>306483.33220799948</v>
      </c>
    </row>
    <row r="17" spans="1:19" ht="13.5" thickBot="1" x14ac:dyDescent="0.25">
      <c r="A17" s="1421"/>
      <c r="B17" s="456" t="s">
        <v>78</v>
      </c>
      <c r="C17" s="457">
        <v>0.02</v>
      </c>
      <c r="D17" s="458">
        <f t="shared" si="0"/>
        <v>153241.66610399974</v>
      </c>
    </row>
    <row r="18" spans="1:19" ht="13.5" thickTop="1" x14ac:dyDescent="0.2">
      <c r="A18" s="459" t="s">
        <v>17</v>
      </c>
      <c r="B18" s="460"/>
      <c r="C18" s="461">
        <f>SUM(C4:C17)</f>
        <v>1.0000000000000002</v>
      </c>
      <c r="D18" s="462">
        <f>SUM(D4:D17)</f>
        <v>7662083.3051999863</v>
      </c>
    </row>
    <row r="19" spans="1:19" ht="13.5" thickBot="1" x14ac:dyDescent="0.25">
      <c r="A19" s="334"/>
      <c r="C19" s="333"/>
      <c r="R19" s="425"/>
    </row>
    <row r="20" spans="1:19" ht="14.25" thickTop="1" thickBot="1" x14ac:dyDescent="0.25">
      <c r="Q20" s="75">
        <v>2023</v>
      </c>
      <c r="R20" s="426">
        <v>2022</v>
      </c>
      <c r="S20" s="427" t="s">
        <v>80</v>
      </c>
    </row>
    <row r="21" spans="1:19" x14ac:dyDescent="0.2">
      <c r="A21" s="1409" t="s">
        <v>0</v>
      </c>
      <c r="B21" s="1411" t="s">
        <v>1</v>
      </c>
      <c r="C21" s="410"/>
      <c r="D21" s="410"/>
      <c r="E21" s="410"/>
      <c r="F21" s="411"/>
      <c r="G21" s="410"/>
      <c r="H21" s="410"/>
      <c r="I21" s="411"/>
      <c r="J21" s="705" t="s">
        <v>134</v>
      </c>
      <c r="K21" s="410"/>
      <c r="L21" s="410"/>
      <c r="M21" s="410"/>
      <c r="N21" s="410"/>
      <c r="O21" s="410"/>
      <c r="P21" s="410"/>
      <c r="Q21" s="424" t="s">
        <v>17</v>
      </c>
      <c r="R21" s="464" t="s">
        <v>17</v>
      </c>
      <c r="S21" s="428" t="s">
        <v>391</v>
      </c>
    </row>
    <row r="22" spans="1:19" ht="23.25" thickBot="1" x14ac:dyDescent="0.25">
      <c r="A22" s="1410"/>
      <c r="B22" s="1412"/>
      <c r="C22" s="412" t="s">
        <v>165</v>
      </c>
      <c r="D22" s="412" t="s">
        <v>166</v>
      </c>
      <c r="E22" s="412" t="s">
        <v>167</v>
      </c>
      <c r="F22" s="413" t="s">
        <v>168</v>
      </c>
      <c r="G22" s="412" t="s">
        <v>169</v>
      </c>
      <c r="H22" s="412" t="s">
        <v>170</v>
      </c>
      <c r="I22" s="413" t="s">
        <v>171</v>
      </c>
      <c r="J22" s="412" t="s">
        <v>311</v>
      </c>
      <c r="K22" s="412" t="s">
        <v>306</v>
      </c>
      <c r="L22" s="412" t="s">
        <v>307</v>
      </c>
      <c r="M22" s="412" t="s">
        <v>308</v>
      </c>
      <c r="N22" s="412" t="s">
        <v>69</v>
      </c>
      <c r="O22" s="412" t="s">
        <v>70</v>
      </c>
      <c r="P22" s="412" t="s">
        <v>172</v>
      </c>
      <c r="Q22" s="412" t="s">
        <v>105</v>
      </c>
      <c r="R22" s="463" t="s">
        <v>105</v>
      </c>
      <c r="S22" s="429" t="s">
        <v>105</v>
      </c>
    </row>
    <row r="23" spans="1:19" ht="13.5" thickTop="1" x14ac:dyDescent="0.2">
      <c r="A23" s="9">
        <v>25100</v>
      </c>
      <c r="B23" s="155" t="s">
        <v>2</v>
      </c>
      <c r="C23" s="418">
        <f>'Zápočty a Zk'!D6*$D$4/100</f>
        <v>86332.301677990996</v>
      </c>
      <c r="D23" s="418">
        <f>VŠKP!D6*'Rozdělení financí FF2023 detail'!$D$5/100</f>
        <v>68615.671389850628</v>
      </c>
      <c r="E23" s="418">
        <f>VŠKP!F6*'Rozdělení financí FF2023 detail'!$D$6/100</f>
        <v>52982.490940212672</v>
      </c>
      <c r="F23" s="418">
        <f>VŠKP!H6*'Rozdělení financí FF2023 detail'!$D$7/100</f>
        <v>72972.221954285589</v>
      </c>
      <c r="G23" s="418">
        <f>'Počty studentů'!V7*'Rozdělení financí FF2023 detail'!$D$8/100</f>
        <v>43353.840708979165</v>
      </c>
      <c r="H23" s="418">
        <f>'Granty I'!K7*'Rozdělení financí FF2023 detail'!$D$9/100</f>
        <v>50987.222754023926</v>
      </c>
      <c r="I23" s="418">
        <f>'Granty II'!K7*'Rozdělení financí FF2023 detail'!$D$10/100</f>
        <v>29729.646870122197</v>
      </c>
      <c r="J23" s="418">
        <f>'Výstupy do RIV'!D7*'Rozdělení financí FF2023 detail'!$D$11/100</f>
        <v>23528.414079466951</v>
      </c>
      <c r="K23" s="418">
        <f>'Modul 1'!D7*'Rozdělení financí FF2023 detail'!$D$12/100</f>
        <v>52365.125547372692</v>
      </c>
      <c r="L23" s="418">
        <f>'Modul 2'!D7*'Rozdělení financí FF2023 detail'!$D$13/100</f>
        <v>123690.09232251272</v>
      </c>
      <c r="M23" s="418">
        <f>'Modul 3'!D7*'Rozdělení financí FF2023 detail'!$D$14/100</f>
        <v>19998.037426571958</v>
      </c>
      <c r="N23" s="418">
        <f>Mobility!V6*'Rozdělení financí FF2023 detail'!$D$15/100</f>
        <v>11113.641307927457</v>
      </c>
      <c r="O23" s="418">
        <f>Mobility!X6*'Rozdělení financí FF2023 detail'!$D$16/100</f>
        <v>6691.7082869552723</v>
      </c>
      <c r="P23" s="418">
        <f>Mobility!Z6*'Rozdělení financí FF2023 detail'!$D$17/100</f>
        <v>3188.6270792753926</v>
      </c>
      <c r="Q23" s="420">
        <f>SUM(C23:P23)</f>
        <v>645549.04234554758</v>
      </c>
      <c r="R23" s="430">
        <f>'[1]Rozdělení financí FF2022 detail'!$Q$23</f>
        <v>250443.05309661166</v>
      </c>
      <c r="S23" s="431">
        <f>Q23-R23</f>
        <v>395105.98924893595</v>
      </c>
    </row>
    <row r="24" spans="1:19" x14ac:dyDescent="0.2">
      <c r="A24" s="10">
        <v>25150</v>
      </c>
      <c r="B24" s="156" t="s">
        <v>3</v>
      </c>
      <c r="C24" s="418">
        <f>'Zápočty a Zk'!D7*$D$4/100</f>
        <v>104839.92614712774</v>
      </c>
      <c r="D24" s="418">
        <f>VŠKP!D7*'Rozdělení financí FF2023 detail'!$D$5/100</f>
        <v>80868.469852323949</v>
      </c>
      <c r="E24" s="418">
        <f>VŠKP!F7*'Rozdělení financí FF2023 detail'!$D$6/100</f>
        <v>0</v>
      </c>
      <c r="F24" s="418">
        <f>VŠKP!H7*'Rozdělení financí FF2023 detail'!$D$7/100</f>
        <v>0</v>
      </c>
      <c r="G24" s="418">
        <f>'Počty studentů'!V8*'Rozdělení financí FF2023 detail'!$D$8/100</f>
        <v>39595.781652547557</v>
      </c>
      <c r="H24" s="418">
        <f>'Granty I'!K8*'Rozdělení financí FF2023 detail'!$D$9/100</f>
        <v>24421.920238337512</v>
      </c>
      <c r="I24" s="418">
        <f>'Granty II'!K8*'Rozdělení financí FF2023 detail'!$D$10/100</f>
        <v>17441.198027777555</v>
      </c>
      <c r="J24" s="418">
        <f>'Výstupy do RIV'!D8*'Rozdělení financí FF2023 detail'!$D$11/100</f>
        <v>8905.52365998612</v>
      </c>
      <c r="K24" s="418">
        <f>'Modul 1'!D8*'Rozdělení financí FF2023 detail'!$D$12/100</f>
        <v>3173.6439725680416</v>
      </c>
      <c r="L24" s="418">
        <f>'Modul 2'!D8*'Rozdělení financí FF2023 detail'!$D$13/100</f>
        <v>8530.3511946560484</v>
      </c>
      <c r="M24" s="418">
        <f>'Modul 3'!D8*'Rozdělení financí FF2023 detail'!$D$14/100</f>
        <v>20503.734924715158</v>
      </c>
      <c r="N24" s="418">
        <f>Mobility!V7*'Rozdělení financí FF2023 detail'!$D$15/100</f>
        <v>1437.4787019906171</v>
      </c>
      <c r="O24" s="418">
        <f>Mobility!X7*'Rozdělení financí FF2023 detail'!$D$16/100</f>
        <v>13982.015012743086</v>
      </c>
      <c r="P24" s="418">
        <f>Mobility!Z7*'Rozdělení financí FF2023 detail'!$D$17/100</f>
        <v>187.56629878090541</v>
      </c>
      <c r="Q24" s="420">
        <f t="shared" ref="Q24:Q40" si="1">SUM(C24:P24)</f>
        <v>323887.60968355427</v>
      </c>
      <c r="R24" s="432">
        <f>'[1]Rozdělení financí FF2022 detail'!$Q$24</f>
        <v>111832.15879480178</v>
      </c>
      <c r="S24" s="431">
        <f t="shared" ref="S24:S40" si="2">Q24-R24</f>
        <v>212055.45088875247</v>
      </c>
    </row>
    <row r="25" spans="1:19" x14ac:dyDescent="0.2">
      <c r="A25" s="10">
        <v>25200</v>
      </c>
      <c r="B25" s="156" t="s">
        <v>4</v>
      </c>
      <c r="C25" s="418">
        <f>'Zápočty a Zk'!D8*$D$4/100</f>
        <v>111485.09695058635</v>
      </c>
      <c r="D25" s="418">
        <f>VŠKP!D8*'Rozdělení financí FF2023 detail'!$D$5/100</f>
        <v>129879.66370221725</v>
      </c>
      <c r="E25" s="418">
        <f>VŠKP!F8*'Rozdělení financí FF2023 detail'!$D$6/100</f>
        <v>89662.676975744529</v>
      </c>
      <c r="F25" s="418">
        <f>VŠKP!H8*'Rozdělení financí FF2023 detail'!$D$7/100</f>
        <v>72972.221954285589</v>
      </c>
      <c r="G25" s="418">
        <f>'Počty studentů'!V9*'Rozdělení financí FF2023 detail'!$D$8/100</f>
        <v>31535.017299621784</v>
      </c>
      <c r="H25" s="418">
        <f>'Granty I'!K9*'Rozdělení financí FF2023 detail'!$D$9/100</f>
        <v>60849.657352718881</v>
      </c>
      <c r="I25" s="418">
        <f>'Granty II'!K9*'Rozdělení financí FF2023 detail'!$D$10/100</f>
        <v>7495.3741655407657</v>
      </c>
      <c r="J25" s="418">
        <f>'Výstupy do RIV'!D9*'Rozdělení financí FF2023 detail'!$D$11/100</f>
        <v>83246.906828002931</v>
      </c>
      <c r="K25" s="418">
        <f>'Modul 1'!D9*'Rozdělení financí FF2023 detail'!$D$12/100</f>
        <v>22215.50780797629</v>
      </c>
      <c r="L25" s="418">
        <f>'Modul 2'!D9*'Rozdělení financí FF2023 detail'!$D$13/100</f>
        <v>7464.0572953240426</v>
      </c>
      <c r="M25" s="418">
        <f>'Modul 3'!D9*'Rozdělení financí FF2023 detail'!$D$14/100</f>
        <v>37283.697363103121</v>
      </c>
      <c r="N25" s="418">
        <f>Mobility!V8*'Rozdělení financí FF2023 detail'!$D$15/100</f>
        <v>34327.849599775931</v>
      </c>
      <c r="O25" s="418">
        <f>Mobility!X8*'Rozdělení financí FF2023 detail'!$D$16/100</f>
        <v>34131.848237745806</v>
      </c>
      <c r="P25" s="418">
        <f>Mobility!Z8*'Rozdělení financí FF2023 detail'!$D$17/100</f>
        <v>99410.138353879884</v>
      </c>
      <c r="Q25" s="420">
        <f t="shared" si="1"/>
        <v>821959.71388652327</v>
      </c>
      <c r="R25" s="432">
        <f>'[1]Rozdělení financí FF2022 detail'!$Q$25</f>
        <v>323587.13977378182</v>
      </c>
      <c r="S25" s="431">
        <f t="shared" si="2"/>
        <v>498372.57411274145</v>
      </c>
    </row>
    <row r="26" spans="1:19" s="405" customFormat="1" hidden="1" x14ac:dyDescent="0.2">
      <c r="A26" s="216"/>
      <c r="B26" s="217" t="s">
        <v>117</v>
      </c>
      <c r="C26" s="417">
        <f>'Zápočty a Zk'!D9*$D$4/100</f>
        <v>64639.388724551791</v>
      </c>
      <c r="D26" s="417">
        <f>VŠKP!D9*'Rozdělení financí FF2023 detail'!$D$5/100</f>
        <v>63714.552004861289</v>
      </c>
      <c r="E26" s="417">
        <f>VŠKP!F9*'Rozdělení financí FF2023 detail'!$D$6/100</f>
        <v>44831.338487872265</v>
      </c>
      <c r="F26" s="416">
        <f>VŠKP!H9*'Rozdělení financí FF2023 detail'!$D$7/100</f>
        <v>36486.110977142795</v>
      </c>
      <c r="G26" s="417">
        <f>'Počty studentů'!V10*'Rozdělení financí FF2023 detail'!$D$8/100</f>
        <v>17537.608930014187</v>
      </c>
      <c r="H26" s="417">
        <f>'Granty I'!K10*'Rozdělení financí FF2023 detail'!$D$9/100</f>
        <v>0</v>
      </c>
      <c r="I26" s="417">
        <f>'Granty II'!K10*'Rozdělení financí FF2023 detail'!$D$10/100</f>
        <v>0</v>
      </c>
      <c r="J26" s="416">
        <f>'Výstupy do RIV'!D10*'Rozdělení financí FF2023 detail'!$D$11/100</f>
        <v>35143.337388489323</v>
      </c>
      <c r="K26" s="707">
        <f>'Modul 1'!D10*'Rozdělení financí FF2023 detail'!$D$12/100</f>
        <v>6347.2879451360832</v>
      </c>
      <c r="L26" s="707">
        <f>'Modul 2'!D10*'Rozdělení financí FF2023 detail'!$D$13/100</f>
        <v>5331.46949666003</v>
      </c>
      <c r="M26" s="707">
        <f>'Modul 3'!D10*'Rozdělení financí FF2023 detail'!$D$14/100</f>
        <v>15649.038942540448</v>
      </c>
      <c r="N26" s="416">
        <f>Mobility!V9*'Rozdělení financí FF2023 detail'!$D$15/100</f>
        <v>16219.908935894126</v>
      </c>
      <c r="O26" s="416">
        <f>Mobility!X9*'Rozdělení financí FF2023 detail'!$D$16/100</f>
        <v>15736.077976206641</v>
      </c>
      <c r="P26" s="416">
        <f>Mobility!Z9*'Rozdělení financí FF2023 detail'!$D$17/100</f>
        <v>38263.524951304709</v>
      </c>
      <c r="Q26" s="421">
        <f t="shared" si="1"/>
        <v>359899.64476067375</v>
      </c>
      <c r="R26" s="433">
        <f>'[1]Rozdělení financí FF2022 detail'!$Q$26</f>
        <v>151824.7389531573</v>
      </c>
      <c r="S26" s="434">
        <f t="shared" si="2"/>
        <v>208074.90580751645</v>
      </c>
    </row>
    <row r="27" spans="1:19" s="405" customFormat="1" hidden="1" x14ac:dyDescent="0.2">
      <c r="A27" s="216"/>
      <c r="B27" s="217" t="s">
        <v>118</v>
      </c>
      <c r="C27" s="417">
        <f>'Zápočty a Zk'!D10*$D$4/100</f>
        <v>46845.708226034563</v>
      </c>
      <c r="D27" s="417">
        <f>VŠKP!D10*'Rozdělení financí FF2023 detail'!$D$5/100</f>
        <v>66165.111697355955</v>
      </c>
      <c r="E27" s="417">
        <f>VŠKP!F10*'Rozdělení financí FF2023 detail'!$D$6/100</f>
        <v>44831.338487872265</v>
      </c>
      <c r="F27" s="416">
        <f>VŠKP!H10*'Rozdělení financí FF2023 detail'!$D$7/100</f>
        <v>36486.110977142795</v>
      </c>
      <c r="G27" s="417">
        <f>'Počty studentů'!V11*'Rozdělení financí FF2023 detail'!$D$8/100</f>
        <v>13997.408369607598</v>
      </c>
      <c r="H27" s="417">
        <f>'Granty I'!K11*'Rozdělení financí FF2023 detail'!$D$9/100</f>
        <v>60849.657352718881</v>
      </c>
      <c r="I27" s="417">
        <f>'Granty II'!K11*'Rozdělení financí FF2023 detail'!$D$10/100</f>
        <v>7495.3741655407657</v>
      </c>
      <c r="J27" s="416">
        <f>'Výstupy do RIV'!D11*'Rozdělení financí FF2023 detail'!$D$11/100</f>
        <v>45850.791401789946</v>
      </c>
      <c r="K27" s="707">
        <f>'Modul 1'!D11*'Rozdělení financí FF2023 detail'!$D$12/100</f>
        <v>15868.219862840207</v>
      </c>
      <c r="L27" s="707">
        <f>'Modul 2'!D11*'Rozdělení financí FF2023 detail'!$D$13/100</f>
        <v>2132.5877986640121</v>
      </c>
      <c r="M27" s="707">
        <f>'Modul 3'!D11*'Rozdělení financí FF2023 detail'!$D$14/100</f>
        <v>21625.463920596438</v>
      </c>
      <c r="N27" s="416">
        <f>Mobility!V10*'Rozdělení financí FF2023 detail'!$D$15/100</f>
        <v>18107.940663881804</v>
      </c>
      <c r="O27" s="416">
        <f>Mobility!X10*'Rozdělení financí FF2023 detail'!$D$16/100</f>
        <v>18395.770261539161</v>
      </c>
      <c r="P27" s="416">
        <f>Mobility!Z10*'Rozdělení financí FF2023 detail'!$D$17/100</f>
        <v>61146.613402575167</v>
      </c>
      <c r="Q27" s="421">
        <f t="shared" si="1"/>
        <v>459798.09658815956</v>
      </c>
      <c r="R27" s="433">
        <f>'[1]Rozdělení financí FF2022 detail'!$Q$27</f>
        <v>171891.17262183252</v>
      </c>
      <c r="S27" s="434">
        <f t="shared" si="2"/>
        <v>287906.92396632704</v>
      </c>
    </row>
    <row r="28" spans="1:19" x14ac:dyDescent="0.2">
      <c r="A28" s="10">
        <v>25300</v>
      </c>
      <c r="B28" s="156" t="s">
        <v>5</v>
      </c>
      <c r="C28" s="418">
        <f>'Zápočty a Zk'!D11*$D$4/100</f>
        <v>67083.273854749365</v>
      </c>
      <c r="D28" s="418">
        <f>VŠKP!D11*'Rozdělení financí FF2023 detail'!$D$5/100</f>
        <v>39208.955079914638</v>
      </c>
      <c r="E28" s="418">
        <f>VŠKP!F11*'Rozdělení financí FF2023 detail'!$D$6/100</f>
        <v>61133.643392553087</v>
      </c>
      <c r="F28" s="418">
        <f>VŠKP!H11*'Rozdělení financí FF2023 detail'!$D$7/100</f>
        <v>0</v>
      </c>
      <c r="G28" s="418">
        <f>'Počty studentů'!V12*'Rozdělení financí FF2023 detail'!$D$8/100</f>
        <v>21486.294170467692</v>
      </c>
      <c r="H28" s="418">
        <f>'Granty I'!K12*'Rozdělení financí FF2023 detail'!$D$9/100</f>
        <v>43566.763971174012</v>
      </c>
      <c r="I28" s="418">
        <f>'Granty II'!K12*'Rozdělení financí FF2023 detail'!$D$10/100</f>
        <v>62947.601827657585</v>
      </c>
      <c r="J28" s="418">
        <f>'Výstupy do RIV'!D12*'Rozdělení financí FF2023 detail'!$D$11/100</f>
        <v>23609.546541809937</v>
      </c>
      <c r="K28" s="418">
        <f>'Modul 1'!D12*'Rozdělení financí FF2023 detail'!$D$12/100</f>
        <v>44431.01561595258</v>
      </c>
      <c r="L28" s="418">
        <f>'Modul 2'!D12*'Rozdělení financí FF2023 detail'!$D$13/100</f>
        <v>179137.37508777701</v>
      </c>
      <c r="M28" s="418">
        <f>'Modul 3'!D12*'Rozdělení financí FF2023 detail'!$D$14/100</f>
        <v>27399.609899395145</v>
      </c>
      <c r="N28" s="418">
        <f>Mobility!V11*'Rozdělení financí FF2023 detail'!$D$15/100</f>
        <v>1330.2041719913175</v>
      </c>
      <c r="O28" s="418">
        <f>Mobility!X11*'Rozdělení financí FF2023 detail'!$D$16/100</f>
        <v>63651.339939488709</v>
      </c>
      <c r="P28" s="418">
        <f>Mobility!Z11*'Rozdělení financí FF2023 detail'!$D$17/100</f>
        <v>2813.4944817135815</v>
      </c>
      <c r="Q28" s="420">
        <f t="shared" si="1"/>
        <v>637799.11803464475</v>
      </c>
      <c r="R28" s="432">
        <f>'[1]Rozdělení financí FF2022 detail'!$Q$28</f>
        <v>231627.8069378291</v>
      </c>
      <c r="S28" s="431">
        <f t="shared" si="2"/>
        <v>406171.31109681563</v>
      </c>
    </row>
    <row r="29" spans="1:19" x14ac:dyDescent="0.2">
      <c r="A29" s="10">
        <v>25350</v>
      </c>
      <c r="B29" s="156" t="s">
        <v>6</v>
      </c>
      <c r="C29" s="418">
        <f>'Zápočty a Zk'!D12*$D$4/100</f>
        <v>45280.523367368689</v>
      </c>
      <c r="D29" s="418">
        <f>VŠKP!D12*'Rozdělení financí FF2023 detail'!$D$5/100</f>
        <v>58813.432619871965</v>
      </c>
      <c r="E29" s="418">
        <f>VŠKP!F12*'Rozdělení financí FF2023 detail'!$D$6/100</f>
        <v>85587.100749574325</v>
      </c>
      <c r="F29" s="418">
        <f>VŠKP!H12*'Rozdělení financí FF2023 detail'!$D$7/100</f>
        <v>54729.166465714196</v>
      </c>
      <c r="G29" s="418">
        <f>'Počty studentů'!V13*'Rozdělení financí FF2023 detail'!$D$8/100</f>
        <v>14405.893049654511</v>
      </c>
      <c r="H29" s="418">
        <f>'Granty I'!K13*'Rozdělení financí FF2023 detail'!$D$9/100</f>
        <v>266477.7605327146</v>
      </c>
      <c r="I29" s="418">
        <f>'Granty II'!K13*'Rozdělení financí FF2023 detail'!$D$10/100</f>
        <v>23757.392208440207</v>
      </c>
      <c r="J29" s="418">
        <f>'Výstupy do RIV'!D13*'Rozdělení financí FF2023 detail'!$D$11/100</f>
        <v>37929.426145347585</v>
      </c>
      <c r="K29" s="418">
        <f>'Modul 1'!D13*'Rozdělení financí FF2023 detail'!$D$12/100</f>
        <v>20628.68582169227</v>
      </c>
      <c r="L29" s="418">
        <f>'Modul 2'!D13*'Rozdělení financí FF2023 detail'!$D$13/100</f>
        <v>27723.641382632159</v>
      </c>
      <c r="M29" s="418">
        <f>'Modul 3'!D13*'Rozdělení financí FF2023 detail'!$D$14/100</f>
        <v>13561.887450203973</v>
      </c>
      <c r="N29" s="418">
        <f>Mobility!V12*'Rozdělení financí FF2023 detail'!$D$15/100</f>
        <v>7444.8523819514057</v>
      </c>
      <c r="O29" s="418">
        <f>Mobility!X12*'Rozdělení financí FF2023 detail'!$D$16/100</f>
        <v>15400.915015901712</v>
      </c>
      <c r="P29" s="418">
        <f>Mobility!Z12*'Rozdělení financí FF2023 detail'!$D$17/100</f>
        <v>3751.3259756181087</v>
      </c>
      <c r="Q29" s="420">
        <f t="shared" si="1"/>
        <v>675492.0031666857</v>
      </c>
      <c r="R29" s="432">
        <f>'[1]Rozdělení financí FF2022 detail'!$Q$29</f>
        <v>253951.83522681514</v>
      </c>
      <c r="S29" s="431">
        <f t="shared" si="2"/>
        <v>421540.16793987056</v>
      </c>
    </row>
    <row r="30" spans="1:19" x14ac:dyDescent="0.2">
      <c r="A30" s="10">
        <v>25351</v>
      </c>
      <c r="B30" s="156" t="s">
        <v>7</v>
      </c>
      <c r="C30" s="418">
        <f>'Zápočty a Zk'!D13*$D$4/100</f>
        <v>33500.447852146637</v>
      </c>
      <c r="D30" s="418">
        <f>VŠKP!D13*'Rozdělení financí FF2023 detail'!$D$5/100</f>
        <v>56362.872927377291</v>
      </c>
      <c r="E30" s="418">
        <f>VŠKP!F13*'Rozdělení financí FF2023 detail'!$D$6/100</f>
        <v>52982.490940212672</v>
      </c>
      <c r="F30" s="418">
        <f>VŠKP!H13*'Rozdělení financí FF2023 detail'!$D$7/100</f>
        <v>0</v>
      </c>
      <c r="G30" s="418">
        <f>'Počty studentů'!V14*'Rozdělení financí FF2023 detail'!$D$8/100</f>
        <v>16502.781073895338</v>
      </c>
      <c r="H30" s="418">
        <f>'Granty I'!K14*'Rozdělení financí FF2023 detail'!$D$9/100</f>
        <v>33288.204223389133</v>
      </c>
      <c r="I30" s="418">
        <f>'Granty II'!K14*'Rozdělení financí FF2023 detail'!$D$10/100</f>
        <v>5097.3571185442879</v>
      </c>
      <c r="J30" s="418">
        <f>'Výstupy do RIV'!D14*'Rozdělení financí FF2023 detail'!$D$11/100</f>
        <v>18904.29643238238</v>
      </c>
      <c r="K30" s="418">
        <f>'Modul 1'!D14*'Rozdělení financí FF2023 detail'!$D$12/100</f>
        <v>47604.659588520626</v>
      </c>
      <c r="L30" s="418">
        <f>'Modul 2'!D14*'Rozdělení financí FF2023 detail'!$D$13/100</f>
        <v>0</v>
      </c>
      <c r="M30" s="418">
        <f>'Modul 3'!D14*'Rozdělení financí FF2023 detail'!$D$14/100</f>
        <v>6895.8749746799867</v>
      </c>
      <c r="N30" s="418">
        <f>Mobility!V13*'Rozdělení financí FF2023 detail'!$D$15/100</f>
        <v>15383.167601899588</v>
      </c>
      <c r="O30" s="418">
        <f>Mobility!X13*'Rozdělení financí FF2023 detail'!$D$16/100</f>
        <v>14577.632569216054</v>
      </c>
      <c r="P30" s="418">
        <f>Mobility!Z13*'Rozdělení financí FF2023 detail'!$D$17/100</f>
        <v>8440.4834451407442</v>
      </c>
      <c r="Q30" s="420">
        <f t="shared" si="1"/>
        <v>309540.26874740474</v>
      </c>
      <c r="R30" s="432">
        <f>'[1]Rozdělení financí FF2022 detail'!$Q$30</f>
        <v>137443.71001184449</v>
      </c>
      <c r="S30" s="431">
        <f t="shared" si="2"/>
        <v>172096.55873556025</v>
      </c>
    </row>
    <row r="31" spans="1:19" x14ac:dyDescent="0.2">
      <c r="A31" s="10">
        <v>25352</v>
      </c>
      <c r="B31" s="156" t="s">
        <v>8</v>
      </c>
      <c r="C31" s="418">
        <f>'Zápočty a Zk'!D14*$D$4/100</f>
        <v>0</v>
      </c>
      <c r="D31" s="418">
        <f>VŠKP!D14*'Rozdělení financí FF2023 detail'!$D$5/100</f>
        <v>0</v>
      </c>
      <c r="E31" s="418">
        <f>VŠKP!F14*'Rozdělení financí FF2023 detail'!$D$6/100</f>
        <v>0</v>
      </c>
      <c r="F31" s="418">
        <f>VŠKP!H14*'Rozdělení financí FF2023 detail'!$D$7/100</f>
        <v>0</v>
      </c>
      <c r="G31" s="418">
        <f>'Počty studentů'!V15*'Rozdělení financí FF2023 detail'!$D$8/100</f>
        <v>0</v>
      </c>
      <c r="H31" s="418">
        <f>'Granty I'!K15*'Rozdělení financí FF2023 detail'!$D$9/100</f>
        <v>6661.1490576576944</v>
      </c>
      <c r="I31" s="418">
        <f>'Granty II'!K15*'Rozdělení financí FF2023 detail'!$D$10/100</f>
        <v>0</v>
      </c>
      <c r="J31" s="418">
        <f>'Výstupy do RIV'!D15*'Rozdělení financí FF2023 detail'!$D$11/100</f>
        <v>11412.633036247187</v>
      </c>
      <c r="K31" s="418">
        <f>'Modul 1'!D15*'Rozdělení financí FF2023 detail'!$D$12/100</f>
        <v>40940.007246127738</v>
      </c>
      <c r="L31" s="418">
        <f>'Modul 2'!D15*'Rozdělení financí FF2023 detail'!$D$13/100</f>
        <v>10662.93899332006</v>
      </c>
      <c r="M31" s="418">
        <f>'Modul 3'!D15*'Rozdělení financí FF2023 detail'!$D$14/100</f>
        <v>16090.374940919966</v>
      </c>
      <c r="N31" s="418">
        <f>Mobility!V14*'Rozdělení financí FF2023 detail'!$D$15/100</f>
        <v>0</v>
      </c>
      <c r="O31" s="418">
        <f>Mobility!X14*'Rozdělení financí FF2023 detail'!$D$16/100</f>
        <v>0</v>
      </c>
      <c r="P31" s="418">
        <f>Mobility!Z14*'Rozdělení financí FF2023 detail'!$D$17/100</f>
        <v>0</v>
      </c>
      <c r="Q31" s="420">
        <f t="shared" si="1"/>
        <v>85767.103274272653</v>
      </c>
      <c r="R31" s="432">
        <f>'[1]Rozdělení financí FF2022 detail'!$Q$31</f>
        <v>35162.763808609358</v>
      </c>
      <c r="S31" s="431">
        <f t="shared" si="2"/>
        <v>50604.339465663295</v>
      </c>
    </row>
    <row r="32" spans="1:19" x14ac:dyDescent="0.2">
      <c r="A32" s="10">
        <v>25400</v>
      </c>
      <c r="B32" s="156" t="s">
        <v>9</v>
      </c>
      <c r="C32" s="418">
        <f>'Zápočty a Zk'!D15*$D$4/100</f>
        <v>225221.86334697268</v>
      </c>
      <c r="D32" s="418">
        <f>VŠKP!D15*'Rozdělení financí FF2023 detail'!$D$5/100</f>
        <v>205847.01416955184</v>
      </c>
      <c r="E32" s="418">
        <f>VŠKP!F15*'Rozdělení financí FF2023 detail'!$D$6/100</f>
        <v>146720.7441421274</v>
      </c>
      <c r="F32" s="418">
        <f>VŠKP!H15*'Rozdělení financí FF2023 detail'!$D$7/100</f>
        <v>18243.055488571397</v>
      </c>
      <c r="G32" s="418">
        <f>'Počty studentů'!V16*'Rozdělení financí FF2023 detail'!$D$8/100</f>
        <v>71947.768312263172</v>
      </c>
      <c r="H32" s="418">
        <f>'Granty I'!K16*'Rozdělení financí FF2023 detail'!$D$9/100</f>
        <v>30036.541890309727</v>
      </c>
      <c r="I32" s="418">
        <f>'Granty II'!K16*'Rozdělení financí FF2023 detail'!$D$10/100</f>
        <v>8432.5176628770896</v>
      </c>
      <c r="J32" s="418">
        <f>'Výstupy do RIV'!D16*'Rozdělení financí FF2023 detail'!$D$11/100</f>
        <v>4810.343692315847</v>
      </c>
      <c r="K32" s="418">
        <f>'Modul 1'!D16*'Rozdělení financí FF2023 detail'!$D$12/100</f>
        <v>38083.727670816501</v>
      </c>
      <c r="L32" s="418">
        <f>'Modul 2'!D16*'Rozdělení financí FF2023 detail'!$D$13/100</f>
        <v>56513.57666459633</v>
      </c>
      <c r="M32" s="418">
        <f>'Modul 3'!D16*'Rozdělení financí FF2023 detail'!$D$14/100</f>
        <v>13837.722449191173</v>
      </c>
      <c r="N32" s="418">
        <f>Mobility!V15*'Rozdělení financí FF2023 detail'!$D$15/100</f>
        <v>55739.845787636172</v>
      </c>
      <c r="O32" s="418">
        <f>Mobility!X15*'Rozdělení financí FF2023 detail'!$D$16/100</f>
        <v>116608.39180370023</v>
      </c>
      <c r="P32" s="418">
        <f>Mobility!Z15*'Rozdělení financí FF2023 detail'!$D$17/100</f>
        <v>2813.4944817135815</v>
      </c>
      <c r="Q32" s="420">
        <f t="shared" si="1"/>
        <v>994856.60756264313</v>
      </c>
      <c r="R32" s="432">
        <f>'[1]Rozdělení financí FF2022 detail'!$Q$32</f>
        <v>377282.12731272512</v>
      </c>
      <c r="S32" s="431">
        <f t="shared" si="2"/>
        <v>617574.48024991807</v>
      </c>
    </row>
    <row r="33" spans="1:20" x14ac:dyDescent="0.2">
      <c r="A33" s="10">
        <v>25500</v>
      </c>
      <c r="B33" s="156" t="s">
        <v>10</v>
      </c>
      <c r="C33" s="418">
        <f>'Zápočty a Zk'!D16*$D$4/100</f>
        <v>104922.30429758385</v>
      </c>
      <c r="D33" s="418">
        <f>VŠKP!D16*'Rozdělení financí FF2023 detail'!$D$5/100</f>
        <v>90670.708622302613</v>
      </c>
      <c r="E33" s="418">
        <f>VŠKP!F16*'Rozdělení financí FF2023 detail'!$D$6/100</f>
        <v>61133.643392553087</v>
      </c>
      <c r="F33" s="418">
        <f>VŠKP!H16*'Rozdělení financí FF2023 detail'!$D$7/100</f>
        <v>0</v>
      </c>
      <c r="G33" s="418">
        <f>'Počty studentů'!V17*'Rozdělení financí FF2023 detail'!$D$8/100</f>
        <v>28376.06910725898</v>
      </c>
      <c r="H33" s="418">
        <f>'Granty I'!K17*'Rozdělení financí FF2023 detail'!$D$9/100</f>
        <v>42319.820357589197</v>
      </c>
      <c r="I33" s="418">
        <f>'Granty II'!K17*'Rozdělení financí FF2023 detail'!$D$10/100</f>
        <v>39661.445571886114</v>
      </c>
      <c r="J33" s="418">
        <f>'Výstupy do RIV'!D17*'Rozdělení financí FF2023 detail'!$D$11/100</f>
        <v>26975.029256413593</v>
      </c>
      <c r="K33" s="418">
        <f>'Modul 1'!D17*'Rozdělení financí FF2023 detail'!$D$12/100</f>
        <v>22215.50780797629</v>
      </c>
      <c r="L33" s="418">
        <f>'Modul 2'!D17*'Rozdělení financí FF2023 detail'!$D$13/100</f>
        <v>11196.085942986063</v>
      </c>
      <c r="M33" s="418">
        <f>'Modul 3'!D17*'Rozdělení financí FF2023 detail'!$D$14/100</f>
        <v>11768.959956787176</v>
      </c>
      <c r="N33" s="418">
        <f>Mobility!V16*'Rozdělení financí FF2023 detail'!$D$15/100</f>
        <v>51749.233271662219</v>
      </c>
      <c r="O33" s="418">
        <f>Mobility!X16*'Rozdělení financí FF2023 detail'!$D$16/100</f>
        <v>10801.599840221974</v>
      </c>
      <c r="P33" s="418">
        <f>Mobility!Z16*'Rozdělení financí FF2023 detail'!$D$17/100</f>
        <v>11629.110524416137</v>
      </c>
      <c r="Q33" s="420">
        <f t="shared" si="1"/>
        <v>513419.51794963726</v>
      </c>
      <c r="R33" s="432">
        <f>'[1]Rozdělení financí FF2022 detail'!$Q$33</f>
        <v>219000.42223935795</v>
      </c>
      <c r="S33" s="431">
        <f t="shared" si="2"/>
        <v>294419.0957102793</v>
      </c>
    </row>
    <row r="34" spans="1:20" x14ac:dyDescent="0.2">
      <c r="A34" s="10">
        <v>25600</v>
      </c>
      <c r="B34" s="156" t="s">
        <v>11</v>
      </c>
      <c r="C34" s="418">
        <f>'Zápočty a Zk'!D17*$D$4/100</f>
        <v>85096.629421149526</v>
      </c>
      <c r="D34" s="418">
        <f>VŠKP!D17*'Rozdělení financí FF2023 detail'!$D$5/100</f>
        <v>73516.790774839945</v>
      </c>
      <c r="E34" s="418">
        <f>VŠKP!F17*'Rozdělení financí FF2023 detail'!$D$6/100</f>
        <v>118191.71055893596</v>
      </c>
      <c r="F34" s="418">
        <f>VŠKP!H17*'Rozdělení financí FF2023 detail'!$D$7/100</f>
        <v>0</v>
      </c>
      <c r="G34" s="418">
        <f>'Počty studentů'!V18*'Rozdělení financí FF2023 detail'!$D$8/100</f>
        <v>25707.302530952475</v>
      </c>
      <c r="H34" s="418">
        <f>'Granty I'!K18*'Rozdělení financí FF2023 detail'!$D$9/100</f>
        <v>17061.968277955719</v>
      </c>
      <c r="I34" s="418">
        <f>'Granty II'!K18*'Rozdělení financí FF2023 detail'!$D$10/100</f>
        <v>23544.930570895987</v>
      </c>
      <c r="J34" s="418">
        <f>'Výstupy do RIV'!D18*'Rozdělení financí FF2023 detail'!$D$11/100</f>
        <v>26885.134488137566</v>
      </c>
      <c r="K34" s="418">
        <f>'Modul 1'!D18*'Rozdělení financí FF2023 detail'!$D$12/100</f>
        <v>0</v>
      </c>
      <c r="L34" s="418">
        <f>'Modul 2'!D18*'Rozdělení financí FF2023 detail'!$D$13/100</f>
        <v>11196.085942986063</v>
      </c>
      <c r="M34" s="418">
        <f>'Modul 3'!D18*'Rozdělení financí FF2023 detail'!$D$14/100</f>
        <v>9930.0599635391791</v>
      </c>
      <c r="N34" s="418">
        <f>Mobility!V17*'Rozdělení financí FF2023 detail'!$D$15/100</f>
        <v>64836.725931576788</v>
      </c>
      <c r="O34" s="418">
        <f>Mobility!X17*'Rozdělení financí FF2023 detail'!$D$16/100</f>
        <v>9827.596529230208</v>
      </c>
      <c r="P34" s="418">
        <f>Mobility!Z17*'Rozdělení financí FF2023 detail'!$D$17/100</f>
        <v>9190.7486402643663</v>
      </c>
      <c r="Q34" s="420">
        <f t="shared" si="1"/>
        <v>474985.68363046378</v>
      </c>
      <c r="R34" s="432">
        <f>'[1]Rozdělení financí FF2022 detail'!$Q$34</f>
        <v>230695.19158274544</v>
      </c>
      <c r="S34" s="431">
        <f t="shared" si="2"/>
        <v>244290.49204771835</v>
      </c>
    </row>
    <row r="35" spans="1:20" x14ac:dyDescent="0.2">
      <c r="A35" s="10">
        <v>25610</v>
      </c>
      <c r="B35" s="156" t="s">
        <v>12</v>
      </c>
      <c r="C35" s="418">
        <f>'Zápočty a Zk'!D18*$D$4/100</f>
        <v>0</v>
      </c>
      <c r="D35" s="418">
        <f>VŠKP!D18*'Rozdělení financí FF2023 detail'!$D$5/100</f>
        <v>0</v>
      </c>
      <c r="E35" s="418">
        <f>VŠKP!F18*'Rozdělení financí FF2023 detail'!$D$6/100</f>
        <v>0</v>
      </c>
      <c r="F35" s="418">
        <f>VŠKP!H18*'Rozdělení financí FF2023 detail'!$D$7/100</f>
        <v>0</v>
      </c>
      <c r="G35" s="418">
        <f>'Počty studentů'!V19*'Rozdělení financí FF2023 detail'!$D$8/100</f>
        <v>0</v>
      </c>
      <c r="H35" s="418">
        <f>'Granty I'!K19*'Rozdělení financí FF2023 detail'!$D$9/100</f>
        <v>0</v>
      </c>
      <c r="I35" s="418">
        <f>'Granty II'!K19*'Rozdělení financí FF2023 detail'!$D$10/100</f>
        <v>0</v>
      </c>
      <c r="J35" s="418">
        <f>'Výstupy do RIV'!D19*'Rozdělení financí FF2023 detail'!$D$11/100</f>
        <v>7572.3631520123508</v>
      </c>
      <c r="K35" s="418">
        <f>'Modul 1'!D19*'Rozdělení financí FF2023 detail'!$D$12/100</f>
        <v>22215.50780797629</v>
      </c>
      <c r="L35" s="418">
        <f>'Modul 2'!D19*'Rozdělení financí FF2023 detail'!$D$13/100</f>
        <v>533.14694966600302</v>
      </c>
      <c r="M35" s="418">
        <f>'Modul 3'!D19*'Rozdělení financí FF2023 detail'!$D$14/100</f>
        <v>3447.9374873399934</v>
      </c>
      <c r="N35" s="418">
        <f>Mobility!V18*'Rozdělení financí FF2023 detail'!$D$15/100</f>
        <v>0</v>
      </c>
      <c r="O35" s="418">
        <f>Mobility!X18*'Rozdělení financí FF2023 detail'!$D$16/100</f>
        <v>0</v>
      </c>
      <c r="P35" s="418">
        <f>Mobility!Z18*'Rozdělení financí FF2023 detail'!$D$17/100</f>
        <v>0</v>
      </c>
      <c r="Q35" s="420">
        <f t="shared" si="1"/>
        <v>33768.955396994636</v>
      </c>
      <c r="R35" s="432">
        <f>'[1]Rozdělení financí FF2022 detail'!$Q$35</f>
        <v>15895.863650913489</v>
      </c>
      <c r="S35" s="431">
        <f t="shared" si="2"/>
        <v>17873.091746081147</v>
      </c>
    </row>
    <row r="36" spans="1:20" x14ac:dyDescent="0.2">
      <c r="A36" s="10">
        <v>25700</v>
      </c>
      <c r="B36" s="156" t="s">
        <v>13</v>
      </c>
      <c r="C36" s="418">
        <f>'Zápočty a Zk'!D19*$D$4/100</f>
        <v>161571.01242789411</v>
      </c>
      <c r="D36" s="418">
        <f>VŠKP!D19*'Rozdělení financí FF2023 detail'!$D$5/100</f>
        <v>257308.76771193981</v>
      </c>
      <c r="E36" s="418">
        <f>VŠKP!F19*'Rozdělení financí FF2023 detail'!$D$6/100</f>
        <v>0</v>
      </c>
      <c r="F36" s="418">
        <f>VŠKP!H19*'Rozdělení financí FF2023 detail'!$D$7/100</f>
        <v>0</v>
      </c>
      <c r="G36" s="418">
        <f>'Počty studentů'!V20*'Rozdělení financí FF2023 detail'!$D$8/100</f>
        <v>45968.142661279424</v>
      </c>
      <c r="H36" s="418">
        <f>'Granty I'!K20*'Rozdělení financí FF2023 detail'!$D$9/100</f>
        <v>90752.958796590829</v>
      </c>
      <c r="I36" s="418">
        <f>'Granty II'!K20*'Rozdělení financí FF2023 detail'!$D$10/100</f>
        <v>40555.919993903299</v>
      </c>
      <c r="J36" s="418">
        <f>'Výstupy do RIV'!D20*'Rozdělení financí FF2023 detail'!$D$11/100</f>
        <v>18305.430683674655</v>
      </c>
      <c r="K36" s="418">
        <f>'Modul 1'!D20*'Rozdělení financí FF2023 detail'!$D$12/100</f>
        <v>12694.575890272166</v>
      </c>
      <c r="L36" s="418">
        <f>'Modul 2'!D20*'Rozdělení financí FF2023 detail'!$D$13/100</f>
        <v>19193.290187976108</v>
      </c>
      <c r="M36" s="418">
        <f>'Modul 3'!D20*'Rozdělení financí FF2023 detail'!$D$14/100</f>
        <v>8275.0499696159841</v>
      </c>
      <c r="N36" s="418">
        <f>Mobility!V19*'Rozdělení financí FF2023 detail'!$D$15/100</f>
        <v>32504.18258978783</v>
      </c>
      <c r="O36" s="418">
        <f>Mobility!X19*'Rozdělení financí FF2023 detail'!$D$16/100</f>
        <v>17382.270259283003</v>
      </c>
      <c r="P36" s="418">
        <f>Mobility!Z19*'Rozdělení financí FF2023 detail'!$D$17/100</f>
        <v>5064.2900670844474</v>
      </c>
      <c r="Q36" s="420">
        <f t="shared" si="1"/>
        <v>709575.89123930165</v>
      </c>
      <c r="R36" s="432">
        <f>'[1]Rozdělení financí FF2022 detail'!$Q$36</f>
        <v>243247.74818671017</v>
      </c>
      <c r="S36" s="431">
        <f t="shared" si="2"/>
        <v>466328.14305259148</v>
      </c>
    </row>
    <row r="37" spans="1:20" x14ac:dyDescent="0.2">
      <c r="A37" s="10">
        <v>25800</v>
      </c>
      <c r="B37" s="156" t="s">
        <v>14</v>
      </c>
      <c r="C37" s="418">
        <f>'Zápočty a Zk'!D20*$D$4/100</f>
        <v>89956.940298059315</v>
      </c>
      <c r="D37" s="418">
        <f>VŠKP!D20*'Rozdělení financí FF2023 detail'!$D$5/100</f>
        <v>88220.14892980794</v>
      </c>
      <c r="E37" s="418">
        <f>VŠKP!F20*'Rozdělení financí FF2023 detail'!$D$6/100</f>
        <v>97813.829428084937</v>
      </c>
      <c r="F37" s="418">
        <f>VŠKP!H20*'Rozdělení financí FF2023 detail'!$D$7/100</f>
        <v>164187.49939714256</v>
      </c>
      <c r="G37" s="418">
        <f>'Počty studentů'!V21*'Rozdělení financí FF2023 detail'!$D$8/100</f>
        <v>42809.194468916619</v>
      </c>
      <c r="H37" s="418">
        <f>'Granty I'!K21*'Rozdělení financí FF2023 detail'!$D$9/100</f>
        <v>124170.6891311137</v>
      </c>
      <c r="I37" s="418">
        <f>'Granty II'!K21*'Rozdělení financí FF2023 detail'!$D$10/100</f>
        <v>49705.20609265782</v>
      </c>
      <c r="J37" s="418">
        <f>'Výstupy do RIV'!D21*'Rozdělení financí FF2023 detail'!$D$11/100</f>
        <v>99341.291308167769</v>
      </c>
      <c r="K37" s="418">
        <f>'Modul 1'!D21*'Rozdělení financí FF2023 detail'!$D$12/100</f>
        <v>100921.87832766373</v>
      </c>
      <c r="L37" s="418">
        <f>'Modul 2'!D21*'Rozdělení financí FF2023 detail'!$D$13/100</f>
        <v>30922.52308062818</v>
      </c>
      <c r="M37" s="418">
        <f>'Modul 3'!D21*'Rozdělení financí FF2023 detail'!$D$14/100</f>
        <v>13332.024951047972</v>
      </c>
      <c r="N37" s="418">
        <f>Mobility!V20*'Rozdělení financí FF2023 detail'!$D$15/100</f>
        <v>30616.150861800161</v>
      </c>
      <c r="O37" s="418">
        <f>Mobility!X20*'Rozdělení financí FF2023 detail'!$D$16/100</f>
        <v>3428.0147135134757</v>
      </c>
      <c r="P37" s="418">
        <f>Mobility!Z20*'Rozdělení financí FF2023 detail'!$D$17/100</f>
        <v>2813.4944817135815</v>
      </c>
      <c r="Q37" s="420">
        <f t="shared" si="1"/>
        <v>938238.88547031779</v>
      </c>
      <c r="R37" s="432">
        <f>'[1]Rozdělení financí FF2022 detail'!$Q$37</f>
        <v>364489.855429355</v>
      </c>
      <c r="S37" s="431">
        <f t="shared" si="2"/>
        <v>573749.03004096285</v>
      </c>
    </row>
    <row r="38" spans="1:20" x14ac:dyDescent="0.2">
      <c r="A38" s="10">
        <v>25810</v>
      </c>
      <c r="B38" s="156" t="s">
        <v>15</v>
      </c>
      <c r="C38" s="418">
        <f>'Zápočty a Zk'!D21*$D$4/100</f>
        <v>34022.176138368588</v>
      </c>
      <c r="D38" s="418">
        <f>VŠKP!D21*'Rozdělení financí FF2023 detail'!$D$5/100</f>
        <v>0</v>
      </c>
      <c r="E38" s="418">
        <f>VŠKP!F21*'Rozdělení financí FF2023 detail'!$D$6/100</f>
        <v>0</v>
      </c>
      <c r="F38" s="418">
        <f>VŠKP!H21*'Rozdělení financí FF2023 detail'!$D$7/100</f>
        <v>0</v>
      </c>
      <c r="G38" s="418">
        <f>'Počty studentů'!V22*'Rozdělení financí FF2023 detail'!$D$8/100</f>
        <v>1416.0802241626361</v>
      </c>
      <c r="H38" s="418">
        <f>'Granty I'!K22*'Rozdělení financí FF2023 detail'!$D$9/100</f>
        <v>0</v>
      </c>
      <c r="I38" s="418">
        <f>'Granty II'!K22*'Rozdělení financí FF2023 detail'!$D$10/100</f>
        <v>0</v>
      </c>
      <c r="J38" s="418">
        <f>'Výstupy do RIV'!D22*'Rozdělení financí FF2023 detail'!$D$11/100</f>
        <v>9918.4435214304613</v>
      </c>
      <c r="K38" s="418">
        <f>'Modul 1'!D22*'Rozdělení financí FF2023 detail'!$D$12/100</f>
        <v>37131.634479046093</v>
      </c>
      <c r="L38" s="418">
        <f>'Modul 2'!D22*'Rozdělení financí FF2023 detail'!$D$13/100</f>
        <v>6397.7633959920358</v>
      </c>
      <c r="M38" s="418">
        <f>'Modul 3'!D22*'Rozdělení financí FF2023 detail'!$D$14/100</f>
        <v>5332.8099804191897</v>
      </c>
      <c r="N38" s="418">
        <f>Mobility!V21*'Rozdělení financí FF2023 detail'!$D$15/100</f>
        <v>0</v>
      </c>
      <c r="O38" s="418">
        <f>Mobility!X21*'Rozdělení financí FF2023 detail'!$D$16/100</f>
        <v>0</v>
      </c>
      <c r="P38" s="418">
        <f>Mobility!Z21*'Rozdělení financí FF2023 detail'!$D$17/100</f>
        <v>3938.8922743990138</v>
      </c>
      <c r="Q38" s="420">
        <f t="shared" si="1"/>
        <v>98157.800013818007</v>
      </c>
      <c r="R38" s="432">
        <f>'[1]Rozdělení financí FF2022 detail'!$Q$38</f>
        <v>35525.753233388452</v>
      </c>
      <c r="S38" s="431">
        <f t="shared" si="2"/>
        <v>62632.046780429555</v>
      </c>
    </row>
    <row r="39" spans="1:20" x14ac:dyDescent="0.2">
      <c r="A39" s="43">
        <v>25820</v>
      </c>
      <c r="B39" s="347" t="s">
        <v>16</v>
      </c>
      <c r="C39" s="418">
        <f>'Zápočty a Zk'!D22*$D$4/100</f>
        <v>0</v>
      </c>
      <c r="D39" s="418">
        <f>VŠKP!D22*'Rozdělení financí FF2023 detail'!$D$5/100</f>
        <v>0</v>
      </c>
      <c r="E39" s="418">
        <f>VŠKP!F22*'Rozdělení financí FF2023 detail'!$D$6/100</f>
        <v>0</v>
      </c>
      <c r="F39" s="418">
        <f>VŠKP!H22*'Rozdělení financí FF2023 detail'!$D$7/100</f>
        <v>0</v>
      </c>
      <c r="G39" s="418">
        <f>'Počty studentů'!V23*'Rozdělení financí FF2023 detail'!$D$8/100</f>
        <v>0</v>
      </c>
      <c r="H39" s="418">
        <f>'Granty I'!K23*'Rozdělení financí FF2023 detail'!$D$9/100</f>
        <v>101262.76161345108</v>
      </c>
      <c r="I39" s="418">
        <f>'Granty II'!K23*'Rozdělení financí FF2023 detail'!$D$10/100</f>
        <v>34874.351021039765</v>
      </c>
      <c r="J39" s="418">
        <f>'Výstupy do RIV'!D23*'Rozdělení financí FF2023 detail'!$D$11/100</f>
        <v>49726.086170018258</v>
      </c>
      <c r="K39" s="418">
        <f>'Modul 1'!D23*'Rozdělení financí FF2023 detail'!$D$12/100</f>
        <v>43161.55802692537</v>
      </c>
      <c r="L39" s="418">
        <f>'Modul 2'!D23*'Rozdělení financí FF2023 detail'!$D$13/100</f>
        <v>26657.347483300153</v>
      </c>
      <c r="M39" s="418">
        <f>'Modul 3'!D23*'Rozdělení financí FF2023 detail'!$D$14/100</f>
        <v>17837.32993450556</v>
      </c>
      <c r="N39" s="418">
        <f>Mobility!V22*'Rozdělení financí FF2023 detail'!$D$15/100</f>
        <v>0</v>
      </c>
      <c r="O39" s="418">
        <f>Mobility!X22*'Rozdělení financí FF2023 detail'!$D$16/100</f>
        <v>0</v>
      </c>
      <c r="P39" s="418">
        <f>Mobility!Z22*'Rozdělení financí FF2023 detail'!$D$17/100</f>
        <v>0</v>
      </c>
      <c r="Q39" s="420">
        <f t="shared" si="1"/>
        <v>273519.43424924015</v>
      </c>
      <c r="R39" s="432">
        <f>'[1]Rozdělení financí FF2022 detail'!$Q$39</f>
        <v>128707.57740604575</v>
      </c>
      <c r="S39" s="431">
        <f t="shared" si="2"/>
        <v>144811.8568431944</v>
      </c>
    </row>
    <row r="40" spans="1:20" ht="13.5" thickBot="1" x14ac:dyDescent="0.25">
      <c r="A40" s="12">
        <v>25830</v>
      </c>
      <c r="B40" s="294" t="s">
        <v>66</v>
      </c>
      <c r="C40" s="419">
        <f>'Zápočty a Zk'!D23*$D$4/100</f>
        <v>0</v>
      </c>
      <c r="D40" s="419">
        <f>VŠKP!D23*'Rozdělení financí FF2023 detail'!$D$5/100</f>
        <v>0</v>
      </c>
      <c r="E40" s="419">
        <f>VŠKP!F23*'Rozdělení financí FF2023 detail'!$D$6/100</f>
        <v>0</v>
      </c>
      <c r="F40" s="419">
        <f>VŠKP!H23*'Rozdělení financí FF2023 detail'!$D$7/100</f>
        <v>0</v>
      </c>
      <c r="G40" s="419">
        <f>'Počty studentů'!V24*'Rozdělení financí FF2023 detail'!$D$8/100</f>
        <v>0</v>
      </c>
      <c r="H40" s="419">
        <f>'Granty I'!K24*'Rozdělení financí FF2023 detail'!$D$9/100</f>
        <v>27592.578426972417</v>
      </c>
      <c r="I40" s="419">
        <f>'Granty II'!K24*'Rozdělení financí FF2023 detail'!$D$10/100</f>
        <v>39861.224128656708</v>
      </c>
      <c r="J40" s="419">
        <f>'Výstupy do RIV'!D24*'Rozdělení financí FF2023 detail'!$D$11/100</f>
        <v>8654.1293165855441</v>
      </c>
      <c r="K40" s="419">
        <f>'Modul 1'!D24*'Rozdělení financí FF2023 detail'!$D$12/100</f>
        <v>28562.795753112376</v>
      </c>
      <c r="L40" s="419">
        <f>'Modul 2'!D24*'Rozdělení financí FF2023 detail'!$D$13/100</f>
        <v>16527.555439646094</v>
      </c>
      <c r="M40" s="419">
        <f>'Modul 3'!D24*'Rozdělení financí FF2023 detail'!$D$14/100</f>
        <v>4367.3874839639911</v>
      </c>
      <c r="N40" s="419">
        <f>Mobility!V23*'Rozdělení financí FF2023 detail'!$D$15/100</f>
        <v>0</v>
      </c>
      <c r="O40" s="419">
        <f>Mobility!X23*'Rozdělení financí FF2023 detail'!$D$16/100</f>
        <v>0</v>
      </c>
      <c r="P40" s="419">
        <f>Mobility!Z23*'Rozdělení financí FF2023 detail'!$D$17/100</f>
        <v>0</v>
      </c>
      <c r="Q40" s="422">
        <f t="shared" si="1"/>
        <v>125565.67054893712</v>
      </c>
      <c r="R40" s="435">
        <f>'[1]Rozdělení financí FF2022 detail'!$Q$40</f>
        <v>64528.55570845992</v>
      </c>
      <c r="S40" s="436">
        <f t="shared" si="2"/>
        <v>61037.114840477203</v>
      </c>
    </row>
    <row r="41" spans="1:20" ht="14.25" thickTop="1" thickBot="1" x14ac:dyDescent="0.25">
      <c r="A41" s="13">
        <v>25000</v>
      </c>
      <c r="B41" s="158" t="s">
        <v>17</v>
      </c>
      <c r="C41" s="414">
        <f>SUM(C23:C40)-C26-C27</f>
        <v>1149312.4957799979</v>
      </c>
      <c r="D41" s="414">
        <f t="shared" ref="D41:Q41" si="3">SUM(D23:D40)-D26-D27</f>
        <v>1149312.4957799979</v>
      </c>
      <c r="E41" s="414">
        <f t="shared" si="3"/>
        <v>766208.33051999868</v>
      </c>
      <c r="F41" s="414">
        <f t="shared" si="3"/>
        <v>383104.16525999928</v>
      </c>
      <c r="G41" s="414">
        <f t="shared" si="3"/>
        <v>383104.1652599994</v>
      </c>
      <c r="H41" s="414">
        <f t="shared" si="3"/>
        <v>919449.99662399839</v>
      </c>
      <c r="I41" s="414">
        <f t="shared" si="3"/>
        <v>383104.16525999934</v>
      </c>
      <c r="J41" s="414">
        <f t="shared" si="3"/>
        <v>459724.99831199914</v>
      </c>
      <c r="K41" s="414">
        <f t="shared" si="3"/>
        <v>536345.83136399894</v>
      </c>
      <c r="L41" s="414">
        <f t="shared" si="3"/>
        <v>536345.83136399917</v>
      </c>
      <c r="M41" s="414">
        <f t="shared" si="3"/>
        <v>229862.49915599951</v>
      </c>
      <c r="N41" s="414">
        <f t="shared" si="3"/>
        <v>306483.33220799954</v>
      </c>
      <c r="O41" s="414">
        <f t="shared" si="3"/>
        <v>306483.33220799954</v>
      </c>
      <c r="P41" s="414">
        <f t="shared" si="3"/>
        <v>153241.66610399971</v>
      </c>
      <c r="Q41" s="423">
        <f t="shared" si="3"/>
        <v>7662083.3051999854</v>
      </c>
      <c r="R41" s="465">
        <f>SUM(R23:R40)-R26-R27</f>
        <v>3023421.5623999946</v>
      </c>
      <c r="S41" s="1497">
        <f>SUM(S23:S40)-S26-S27</f>
        <v>4638661.7427999908</v>
      </c>
      <c r="T41" s="1498"/>
    </row>
    <row r="42" spans="1:20" x14ac:dyDescent="0.2">
      <c r="Q42" s="706">
        <f>C41+D41+E41+F41+G41+H41+I41+J41+K41+L41+M41+N41+O41+P41</f>
        <v>7662083.3051999863</v>
      </c>
    </row>
  </sheetData>
  <mergeCells count="5">
    <mergeCell ref="A21:A22"/>
    <mergeCell ref="B21:B22"/>
    <mergeCell ref="A4:A8"/>
    <mergeCell ref="A9:A14"/>
    <mergeCell ref="A15:A17"/>
  </mergeCells>
  <pageMargins left="0.7" right="0.7" top="0.78740157499999996" bottom="0.78740157499999996" header="0.3" footer="0.3"/>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E54"/>
  <sheetViews>
    <sheetView zoomScaleNormal="100" workbookViewId="0"/>
  </sheetViews>
  <sheetFormatPr defaultColWidth="8.85546875" defaultRowHeight="15" x14ac:dyDescent="0.25"/>
  <cols>
    <col min="1" max="1" width="8.85546875" style="341"/>
    <col min="2" max="2" width="38.5703125" style="341" customWidth="1"/>
    <col min="3" max="3" width="8.5703125" style="341" customWidth="1"/>
    <col min="4" max="4" width="8.28515625" style="341" customWidth="1"/>
    <col min="5" max="5" width="7.85546875" style="341" customWidth="1"/>
    <col min="6" max="6" width="5.140625" style="341" customWidth="1"/>
    <col min="7" max="7" width="7.85546875" style="341" customWidth="1"/>
    <col min="8" max="8" width="5.140625" style="341" customWidth="1"/>
    <col min="9" max="16384" width="8.85546875" style="341"/>
  </cols>
  <sheetData>
    <row r="1" spans="1:4" ht="15.75" x14ac:dyDescent="0.25">
      <c r="A1" s="378" t="s">
        <v>165</v>
      </c>
    </row>
    <row r="2" spans="1:4" ht="15.75" thickBot="1" x14ac:dyDescent="0.3"/>
    <row r="3" spans="1:4" ht="15.75" thickBot="1" x14ac:dyDescent="0.3">
      <c r="A3" s="1"/>
      <c r="B3" s="2"/>
      <c r="C3" s="1422" t="s">
        <v>165</v>
      </c>
      <c r="D3" s="1423"/>
    </row>
    <row r="4" spans="1:4" x14ac:dyDescent="0.25">
      <c r="A4" s="1409" t="s">
        <v>0</v>
      </c>
      <c r="B4" s="1411" t="s">
        <v>1</v>
      </c>
      <c r="C4" s="364" t="s">
        <v>417</v>
      </c>
      <c r="D4" s="366" t="s">
        <v>156</v>
      </c>
    </row>
    <row r="5" spans="1:4" ht="15.75" thickBot="1" x14ac:dyDescent="0.3">
      <c r="A5" s="1410"/>
      <c r="B5" s="1412"/>
      <c r="C5" s="368" t="s">
        <v>195</v>
      </c>
      <c r="D5" s="370" t="s">
        <v>18</v>
      </c>
    </row>
    <row r="6" spans="1:4" ht="15.75" thickTop="1" x14ac:dyDescent="0.25">
      <c r="A6" s="9">
        <v>25100</v>
      </c>
      <c r="B6" s="155" t="s">
        <v>2</v>
      </c>
      <c r="C6" s="990">
        <f>E32+E45</f>
        <v>3144</v>
      </c>
      <c r="D6" s="358">
        <f>C6*100/$C$24</f>
        <v>7.5116473539601003</v>
      </c>
    </row>
    <row r="7" spans="1:4" x14ac:dyDescent="0.25">
      <c r="A7" s="10">
        <v>25150</v>
      </c>
      <c r="B7" s="156" t="s">
        <v>3</v>
      </c>
      <c r="C7" s="991">
        <f>E40+E53</f>
        <v>3818</v>
      </c>
      <c r="D7" s="358">
        <f t="shared" ref="D7:D23" si="0">C7*100/$C$24</f>
        <v>9.121968701469358</v>
      </c>
    </row>
    <row r="8" spans="1:4" x14ac:dyDescent="0.25">
      <c r="A8" s="10">
        <v>25200</v>
      </c>
      <c r="B8" s="156" t="s">
        <v>4</v>
      </c>
      <c r="C8" s="991">
        <f>E36+E39+E49+E52</f>
        <v>4060</v>
      </c>
      <c r="D8" s="358">
        <f t="shared" si="0"/>
        <v>9.7001552980528007</v>
      </c>
    </row>
    <row r="9" spans="1:4" s="407" customFormat="1" hidden="1" x14ac:dyDescent="0.25">
      <c r="A9" s="216"/>
      <c r="B9" s="217" t="s">
        <v>117</v>
      </c>
      <c r="C9" s="992">
        <f>E39+E52</f>
        <v>2354</v>
      </c>
      <c r="D9" s="408">
        <f t="shared" si="0"/>
        <v>5.624178712220762</v>
      </c>
    </row>
    <row r="10" spans="1:4" s="407" customFormat="1" hidden="1" x14ac:dyDescent="0.25">
      <c r="A10" s="216"/>
      <c r="B10" s="217" t="s">
        <v>118</v>
      </c>
      <c r="C10" s="992">
        <f>E36+E49</f>
        <v>1706</v>
      </c>
      <c r="D10" s="408">
        <f t="shared" si="0"/>
        <v>4.0759765858320396</v>
      </c>
    </row>
    <row r="11" spans="1:4" x14ac:dyDescent="0.25">
      <c r="A11" s="10">
        <v>25300</v>
      </c>
      <c r="B11" s="156" t="s">
        <v>5</v>
      </c>
      <c r="C11" s="991">
        <f>E29+E42</f>
        <v>2443</v>
      </c>
      <c r="D11" s="358">
        <f t="shared" si="0"/>
        <v>5.8368175845179788</v>
      </c>
    </row>
    <row r="12" spans="1:4" x14ac:dyDescent="0.25">
      <c r="A12" s="10">
        <v>25350</v>
      </c>
      <c r="B12" s="156" t="s">
        <v>6</v>
      </c>
      <c r="C12" s="991">
        <f>E30+E43</f>
        <v>1649</v>
      </c>
      <c r="D12" s="358">
        <f t="shared" si="0"/>
        <v>3.9397921395293274</v>
      </c>
    </row>
    <row r="13" spans="1:4" x14ac:dyDescent="0.25">
      <c r="A13" s="10">
        <v>25351</v>
      </c>
      <c r="B13" s="156" t="s">
        <v>7</v>
      </c>
      <c r="C13" s="991">
        <f>E31+E44</f>
        <v>1220</v>
      </c>
      <c r="D13" s="358">
        <f t="shared" si="0"/>
        <v>2.9148249910404971</v>
      </c>
    </row>
    <row r="14" spans="1:4" x14ac:dyDescent="0.25">
      <c r="A14" s="10">
        <v>25352</v>
      </c>
      <c r="B14" s="156" t="s">
        <v>8</v>
      </c>
      <c r="C14" s="980">
        <v>0</v>
      </c>
      <c r="D14" s="358">
        <f t="shared" si="0"/>
        <v>0</v>
      </c>
    </row>
    <row r="15" spans="1:4" x14ac:dyDescent="0.25">
      <c r="A15" s="10">
        <v>25400</v>
      </c>
      <c r="B15" s="156" t="s">
        <v>9</v>
      </c>
      <c r="C15" s="991">
        <f>E28+E41</f>
        <v>8202</v>
      </c>
      <c r="D15" s="358">
        <f t="shared" si="0"/>
        <v>19.59622506271652</v>
      </c>
    </row>
    <row r="16" spans="1:4" x14ac:dyDescent="0.25">
      <c r="A16" s="10">
        <v>25500</v>
      </c>
      <c r="B16" s="156" t="s">
        <v>10</v>
      </c>
      <c r="C16" s="991">
        <f>E38+E51</f>
        <v>3821</v>
      </c>
      <c r="D16" s="358">
        <f t="shared" si="0"/>
        <v>9.1291363039063427</v>
      </c>
    </row>
    <row r="17" spans="1:5" x14ac:dyDescent="0.25">
      <c r="A17" s="10">
        <v>25600</v>
      </c>
      <c r="B17" s="156" t="s">
        <v>11</v>
      </c>
      <c r="C17" s="991">
        <f>E33+E46</f>
        <v>3099</v>
      </c>
      <c r="D17" s="358">
        <f t="shared" si="0"/>
        <v>7.4041333174053277</v>
      </c>
    </row>
    <row r="18" spans="1:5" x14ac:dyDescent="0.25">
      <c r="A18" s="10">
        <v>25610</v>
      </c>
      <c r="B18" s="156" t="s">
        <v>12</v>
      </c>
      <c r="C18" s="980">
        <v>0</v>
      </c>
      <c r="D18" s="358">
        <f t="shared" si="0"/>
        <v>0</v>
      </c>
    </row>
    <row r="19" spans="1:5" x14ac:dyDescent="0.25">
      <c r="A19" s="10">
        <v>25700</v>
      </c>
      <c r="B19" s="156" t="s">
        <v>13</v>
      </c>
      <c r="C19" s="991">
        <f>E37+E50</f>
        <v>5884</v>
      </c>
      <c r="D19" s="358">
        <f t="shared" si="0"/>
        <v>14.058057579739577</v>
      </c>
    </row>
    <row r="20" spans="1:5" x14ac:dyDescent="0.25">
      <c r="A20" s="10">
        <v>25800</v>
      </c>
      <c r="B20" s="156" t="s">
        <v>14</v>
      </c>
      <c r="C20" s="991">
        <f>E34+E47</f>
        <v>3276</v>
      </c>
      <c r="D20" s="358">
        <f t="shared" si="0"/>
        <v>7.8270218611874327</v>
      </c>
    </row>
    <row r="21" spans="1:5" x14ac:dyDescent="0.25">
      <c r="A21" s="10">
        <v>25810</v>
      </c>
      <c r="B21" s="156" t="s">
        <v>15</v>
      </c>
      <c r="C21" s="991">
        <f>E35+E48</f>
        <v>1239</v>
      </c>
      <c r="D21" s="358">
        <f t="shared" si="0"/>
        <v>2.960219806474734</v>
      </c>
    </row>
    <row r="22" spans="1:5" x14ac:dyDescent="0.25">
      <c r="A22" s="43">
        <v>25820</v>
      </c>
      <c r="B22" s="347" t="s">
        <v>16</v>
      </c>
      <c r="C22" s="350">
        <v>0</v>
      </c>
      <c r="D22" s="358">
        <f t="shared" si="0"/>
        <v>0</v>
      </c>
    </row>
    <row r="23" spans="1:5" ht="15.75" thickBot="1" x14ac:dyDescent="0.3">
      <c r="A23" s="12">
        <v>25830</v>
      </c>
      <c r="B23" s="294" t="s">
        <v>66</v>
      </c>
      <c r="C23" s="360">
        <v>0</v>
      </c>
      <c r="D23" s="358">
        <f t="shared" si="0"/>
        <v>0</v>
      </c>
    </row>
    <row r="24" spans="1:5" ht="16.5" thickTop="1" thickBot="1" x14ac:dyDescent="0.3">
      <c r="A24" s="13">
        <v>25000</v>
      </c>
      <c r="B24" s="158" t="s">
        <v>17</v>
      </c>
      <c r="C24" s="372">
        <f>SUM(C6:C23)-C9-C10</f>
        <v>41855</v>
      </c>
      <c r="D24" s="376">
        <f>SUM(D6:D23)-D9-D10</f>
        <v>100</v>
      </c>
    </row>
    <row r="25" spans="1:5" x14ac:dyDescent="0.25">
      <c r="A25" s="48"/>
      <c r="B25" s="48"/>
      <c r="C25" s="344">
        <f>E28+E29+E30+E31+E32+E33+E34+E35+E36+E37+E38+E39+E40+E41+E42+E43+E44+E45+E46+E47+E48+E49+E50+E51+E52+E53+E54</f>
        <v>41855</v>
      </c>
      <c r="D25" s="345"/>
    </row>
    <row r="27" spans="1:5" s="339" customFormat="1" ht="26.25" x14ac:dyDescent="0.25">
      <c r="A27" s="377" t="s">
        <v>181</v>
      </c>
      <c r="B27" s="377" t="s">
        <v>182</v>
      </c>
      <c r="C27" s="379" t="s">
        <v>183</v>
      </c>
      <c r="D27" s="379" t="s">
        <v>184</v>
      </c>
      <c r="E27" s="409" t="s">
        <v>17</v>
      </c>
    </row>
    <row r="28" spans="1:5" x14ac:dyDescent="0.25">
      <c r="A28" s="693" t="s">
        <v>418</v>
      </c>
      <c r="B28" s="693" t="s">
        <v>92</v>
      </c>
      <c r="C28" s="694">
        <f>'[2]Zp+ZK_2022'!$C$31</f>
        <v>2000</v>
      </c>
      <c r="D28" s="979">
        <f>'[2]Zp+ZK_2022'!$E$31</f>
        <v>2104</v>
      </c>
      <c r="E28" s="692">
        <f>C28+D28</f>
        <v>4104</v>
      </c>
    </row>
    <row r="29" spans="1:5" x14ac:dyDescent="0.25">
      <c r="A29" s="693" t="s">
        <v>418</v>
      </c>
      <c r="B29" s="693" t="s">
        <v>177</v>
      </c>
      <c r="C29" s="694">
        <f>'[2]Zp+ZK_2022'!$C$32</f>
        <v>394</v>
      </c>
      <c r="D29" s="979">
        <f>'[2]Zp+ZK_2022'!$E$32</f>
        <v>858</v>
      </c>
      <c r="E29" s="692">
        <f t="shared" ref="E29:E53" si="1">C29+D29</f>
        <v>1252</v>
      </c>
    </row>
    <row r="30" spans="1:5" x14ac:dyDescent="0.25">
      <c r="A30" s="693" t="s">
        <v>418</v>
      </c>
      <c r="B30" s="693" t="s">
        <v>176</v>
      </c>
      <c r="C30" s="694">
        <f>'[2]Zp+ZK_2022'!$C$33</f>
        <v>175</v>
      </c>
      <c r="D30" s="979">
        <f>'[2]Zp+ZK_2022'!$E$33</f>
        <v>708</v>
      </c>
      <c r="E30" s="692">
        <f t="shared" si="1"/>
        <v>883</v>
      </c>
    </row>
    <row r="31" spans="1:5" x14ac:dyDescent="0.25">
      <c r="A31" s="693" t="s">
        <v>418</v>
      </c>
      <c r="B31" s="693" t="s">
        <v>91</v>
      </c>
      <c r="C31" s="694">
        <f>'[2]Zp+ZK_2022'!$C$34</f>
        <v>214</v>
      </c>
      <c r="D31" s="979">
        <f>'[2]Zp+ZK_2022'!$E$34</f>
        <v>287</v>
      </c>
      <c r="E31" s="692">
        <f t="shared" si="1"/>
        <v>501</v>
      </c>
    </row>
    <row r="32" spans="1:5" x14ac:dyDescent="0.25">
      <c r="A32" s="693" t="s">
        <v>418</v>
      </c>
      <c r="B32" s="693" t="s">
        <v>87</v>
      </c>
      <c r="C32" s="694">
        <f>'[2]Zp+ZK_2022'!$C$35</f>
        <v>582</v>
      </c>
      <c r="D32" s="979">
        <f>'[2]Zp+ZK_2022'!$E$35</f>
        <v>1049</v>
      </c>
      <c r="E32" s="692">
        <f t="shared" si="1"/>
        <v>1631</v>
      </c>
    </row>
    <row r="33" spans="1:5" x14ac:dyDescent="0.25">
      <c r="A33" s="693" t="s">
        <v>418</v>
      </c>
      <c r="B33" s="693" t="s">
        <v>94</v>
      </c>
      <c r="C33" s="694">
        <f>'[2]Zp+ZK_2022'!$C$36</f>
        <v>603</v>
      </c>
      <c r="D33" s="979">
        <f>'[2]Zp+ZK_2022'!$E$36</f>
        <v>800</v>
      </c>
      <c r="E33" s="692">
        <f t="shared" si="1"/>
        <v>1403</v>
      </c>
    </row>
    <row r="34" spans="1:5" x14ac:dyDescent="0.25">
      <c r="A34" s="693" t="s">
        <v>418</v>
      </c>
      <c r="B34" s="693" t="s">
        <v>96</v>
      </c>
      <c r="C34" s="694">
        <f>'[2]Zp+ZK_2022'!$C$37</f>
        <v>724</v>
      </c>
      <c r="D34" s="979">
        <f>'[2]Zp+ZK_2022'!$E$37</f>
        <v>981</v>
      </c>
      <c r="E34" s="692">
        <f t="shared" si="1"/>
        <v>1705</v>
      </c>
    </row>
    <row r="35" spans="1:5" x14ac:dyDescent="0.25">
      <c r="A35" s="693" t="s">
        <v>418</v>
      </c>
      <c r="B35" s="693" t="s">
        <v>97</v>
      </c>
      <c r="C35" s="694">
        <f>'[2]Zp+ZK_2022'!$C$38</f>
        <v>327</v>
      </c>
      <c r="D35" s="979">
        <f>'[2]Zp+ZK_2022'!$E$38</f>
        <v>349</v>
      </c>
      <c r="E35" s="692">
        <f t="shared" si="1"/>
        <v>676</v>
      </c>
    </row>
    <row r="36" spans="1:5" x14ac:dyDescent="0.25">
      <c r="A36" s="693" t="s">
        <v>418</v>
      </c>
      <c r="B36" s="693" t="s">
        <v>178</v>
      </c>
      <c r="C36" s="694">
        <f>'[2]Zp+ZK_2022'!$C$39</f>
        <v>338</v>
      </c>
      <c r="D36" s="979">
        <f>'[2]Zp+ZK_2022'!$E$39</f>
        <v>424</v>
      </c>
      <c r="E36" s="692">
        <f t="shared" si="1"/>
        <v>762</v>
      </c>
    </row>
    <row r="37" spans="1:5" x14ac:dyDescent="0.25">
      <c r="A37" s="693" t="s">
        <v>418</v>
      </c>
      <c r="B37" s="693" t="s">
        <v>95</v>
      </c>
      <c r="C37" s="694">
        <f>'[2]Zp+ZK_2022'!$C$40</f>
        <v>1610</v>
      </c>
      <c r="D37" s="979">
        <f>'[2]Zp+ZK_2022'!$E$40</f>
        <v>1395</v>
      </c>
      <c r="E37" s="692">
        <f t="shared" si="1"/>
        <v>3005</v>
      </c>
    </row>
    <row r="38" spans="1:5" x14ac:dyDescent="0.25">
      <c r="A38" s="693" t="s">
        <v>418</v>
      </c>
      <c r="B38" s="693" t="s">
        <v>93</v>
      </c>
      <c r="C38" s="694">
        <f>'[2]Zp+ZK_2022'!$C$41</f>
        <v>792</v>
      </c>
      <c r="D38" s="979">
        <f>'[2]Zp+ZK_2022'!$E$41</f>
        <v>977</v>
      </c>
      <c r="E38" s="692">
        <f t="shared" si="1"/>
        <v>1769</v>
      </c>
    </row>
    <row r="39" spans="1:5" x14ac:dyDescent="0.25">
      <c r="A39" s="693" t="s">
        <v>418</v>
      </c>
      <c r="B39" s="693" t="s">
        <v>179</v>
      </c>
      <c r="C39" s="694">
        <f>'[2]Zp+ZK_2022'!$C$42</f>
        <v>389</v>
      </c>
      <c r="D39" s="979">
        <f>'[2]Zp+ZK_2022'!$E$42</f>
        <v>740</v>
      </c>
      <c r="E39" s="692">
        <f t="shared" si="1"/>
        <v>1129</v>
      </c>
    </row>
    <row r="40" spans="1:5" x14ac:dyDescent="0.25">
      <c r="A40" s="693" t="s">
        <v>418</v>
      </c>
      <c r="B40" s="693" t="s">
        <v>88</v>
      </c>
      <c r="C40" s="694">
        <f>'[2]Zp+ZK_2022'!$C$43</f>
        <v>934</v>
      </c>
      <c r="D40" s="979">
        <f>'[2]Zp+ZK_2022'!$E$43</f>
        <v>1116</v>
      </c>
      <c r="E40" s="692">
        <f t="shared" si="1"/>
        <v>2050</v>
      </c>
    </row>
    <row r="41" spans="1:5" x14ac:dyDescent="0.25">
      <c r="A41" s="987" t="s">
        <v>340</v>
      </c>
      <c r="B41" s="987" t="s">
        <v>92</v>
      </c>
      <c r="C41" s="986">
        <v>1949</v>
      </c>
      <c r="D41" s="988">
        <v>2149</v>
      </c>
      <c r="E41" s="406">
        <f t="shared" si="1"/>
        <v>4098</v>
      </c>
    </row>
    <row r="42" spans="1:5" x14ac:dyDescent="0.25">
      <c r="A42" s="987" t="s">
        <v>340</v>
      </c>
      <c r="B42" s="987" t="s">
        <v>177</v>
      </c>
      <c r="C42" s="986">
        <v>467</v>
      </c>
      <c r="D42" s="988">
        <v>724</v>
      </c>
      <c r="E42" s="406">
        <f t="shared" si="1"/>
        <v>1191</v>
      </c>
    </row>
    <row r="43" spans="1:5" x14ac:dyDescent="0.25">
      <c r="A43" s="987" t="s">
        <v>340</v>
      </c>
      <c r="B43" s="987" t="s">
        <v>176</v>
      </c>
      <c r="C43" s="986">
        <v>201</v>
      </c>
      <c r="D43" s="988">
        <v>565</v>
      </c>
      <c r="E43" s="406">
        <f t="shared" si="1"/>
        <v>766</v>
      </c>
    </row>
    <row r="44" spans="1:5" x14ac:dyDescent="0.25">
      <c r="A44" s="987" t="s">
        <v>340</v>
      </c>
      <c r="B44" s="987" t="s">
        <v>91</v>
      </c>
      <c r="C44" s="986">
        <v>280</v>
      </c>
      <c r="D44" s="988">
        <v>439</v>
      </c>
      <c r="E44" s="406">
        <f t="shared" si="1"/>
        <v>719</v>
      </c>
    </row>
    <row r="45" spans="1:5" x14ac:dyDescent="0.25">
      <c r="A45" s="987" t="s">
        <v>340</v>
      </c>
      <c r="B45" s="987" t="s">
        <v>87</v>
      </c>
      <c r="C45" s="986">
        <v>538</v>
      </c>
      <c r="D45" s="988">
        <v>975</v>
      </c>
      <c r="E45" s="406">
        <f t="shared" si="1"/>
        <v>1513</v>
      </c>
    </row>
    <row r="46" spans="1:5" x14ac:dyDescent="0.25">
      <c r="A46" s="987" t="s">
        <v>340</v>
      </c>
      <c r="B46" s="987" t="s">
        <v>94</v>
      </c>
      <c r="C46" s="986">
        <v>691</v>
      </c>
      <c r="D46" s="988">
        <v>1005</v>
      </c>
      <c r="E46" s="406">
        <f t="shared" si="1"/>
        <v>1696</v>
      </c>
    </row>
    <row r="47" spans="1:5" x14ac:dyDescent="0.25">
      <c r="A47" s="987" t="s">
        <v>340</v>
      </c>
      <c r="B47" s="987" t="s">
        <v>96</v>
      </c>
      <c r="C47" s="986">
        <v>598</v>
      </c>
      <c r="D47" s="988">
        <v>973</v>
      </c>
      <c r="E47" s="406">
        <f t="shared" si="1"/>
        <v>1571</v>
      </c>
    </row>
    <row r="48" spans="1:5" x14ac:dyDescent="0.25">
      <c r="A48" s="987" t="s">
        <v>340</v>
      </c>
      <c r="B48" s="987" t="s">
        <v>97</v>
      </c>
      <c r="C48" s="986">
        <v>95</v>
      </c>
      <c r="D48" s="988">
        <v>468</v>
      </c>
      <c r="E48" s="406">
        <f t="shared" si="1"/>
        <v>563</v>
      </c>
    </row>
    <row r="49" spans="1:5" x14ac:dyDescent="0.25">
      <c r="A49" s="987" t="s">
        <v>340</v>
      </c>
      <c r="B49" s="987" t="s">
        <v>178</v>
      </c>
      <c r="C49" s="986">
        <v>437</v>
      </c>
      <c r="D49" s="988">
        <v>507</v>
      </c>
      <c r="E49" s="406">
        <f t="shared" si="1"/>
        <v>944</v>
      </c>
    </row>
    <row r="50" spans="1:5" x14ac:dyDescent="0.25">
      <c r="A50" s="987" t="s">
        <v>340</v>
      </c>
      <c r="B50" s="987" t="s">
        <v>95</v>
      </c>
      <c r="C50" s="986">
        <v>1615</v>
      </c>
      <c r="D50" s="988">
        <v>1264</v>
      </c>
      <c r="E50" s="406">
        <f t="shared" si="1"/>
        <v>2879</v>
      </c>
    </row>
    <row r="51" spans="1:5" x14ac:dyDescent="0.25">
      <c r="A51" s="987" t="s">
        <v>340</v>
      </c>
      <c r="B51" s="987" t="s">
        <v>93</v>
      </c>
      <c r="C51" s="986">
        <v>838</v>
      </c>
      <c r="D51" s="988">
        <v>1214</v>
      </c>
      <c r="E51" s="406">
        <f t="shared" si="1"/>
        <v>2052</v>
      </c>
    </row>
    <row r="52" spans="1:5" x14ac:dyDescent="0.25">
      <c r="A52" s="987" t="s">
        <v>340</v>
      </c>
      <c r="B52" s="987" t="s">
        <v>179</v>
      </c>
      <c r="C52" s="986">
        <v>427</v>
      </c>
      <c r="D52" s="988">
        <v>798</v>
      </c>
      <c r="E52" s="406">
        <f t="shared" si="1"/>
        <v>1225</v>
      </c>
    </row>
    <row r="53" spans="1:5" x14ac:dyDescent="0.25">
      <c r="A53" s="987" t="s">
        <v>340</v>
      </c>
      <c r="B53" s="987" t="s">
        <v>88</v>
      </c>
      <c r="C53" s="986">
        <v>709</v>
      </c>
      <c r="D53" s="988">
        <v>1059</v>
      </c>
      <c r="E53" s="406">
        <f t="shared" si="1"/>
        <v>1768</v>
      </c>
    </row>
    <row r="54" spans="1:5" x14ac:dyDescent="0.25">
      <c r="A54" s="340"/>
      <c r="B54" s="340"/>
      <c r="E54" s="989"/>
    </row>
  </sheetData>
  <autoFilter ref="A27:E54" xr:uid="{00000000-0009-0000-0000-000004000000}"/>
  <mergeCells count="3">
    <mergeCell ref="C3:D3"/>
    <mergeCell ref="A4:A5"/>
    <mergeCell ref="B4:B5"/>
  </mergeCells>
  <pageMargins left="0.7" right="0.7" top="0.78740157499999996" bottom="0.78740157499999996"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H93"/>
  <sheetViews>
    <sheetView workbookViewId="0"/>
  </sheetViews>
  <sheetFormatPr defaultColWidth="8.85546875" defaultRowHeight="15" x14ac:dyDescent="0.25"/>
  <cols>
    <col min="1" max="1" width="8.85546875" style="341"/>
    <col min="2" max="2" width="38.5703125" style="341" customWidth="1"/>
    <col min="3" max="3" width="7.85546875" style="341" customWidth="1"/>
    <col min="4" max="4" width="6.7109375" style="341" bestFit="1" customWidth="1"/>
    <col min="5" max="5" width="7.85546875" style="341" customWidth="1"/>
    <col min="6" max="6" width="5.7109375" style="341" customWidth="1"/>
    <col min="7" max="7" width="7.85546875" style="341" customWidth="1"/>
    <col min="8" max="8" width="5.7109375" style="341" customWidth="1"/>
    <col min="9" max="9" width="7.85546875" style="341" customWidth="1"/>
    <col min="10" max="10" width="6.7109375" style="341" bestFit="1" customWidth="1"/>
    <col min="11" max="11" width="7.85546875" style="341" customWidth="1"/>
    <col min="12" max="12" width="5.140625" style="341" customWidth="1"/>
    <col min="13" max="13" width="7.85546875" style="341" customWidth="1"/>
    <col min="14" max="14" width="5.140625" style="341" customWidth="1"/>
    <col min="15" max="16384" width="8.85546875" style="341"/>
  </cols>
  <sheetData>
    <row r="1" spans="1:8" ht="15.75" x14ac:dyDescent="0.25">
      <c r="A1" s="378" t="s">
        <v>196</v>
      </c>
    </row>
    <row r="2" spans="1:8" ht="15.75" thickBot="1" x14ac:dyDescent="0.3"/>
    <row r="3" spans="1:8" ht="15.75" thickBot="1" x14ac:dyDescent="0.3">
      <c r="A3" s="1"/>
      <c r="B3" s="2"/>
      <c r="C3" s="1422" t="s">
        <v>166</v>
      </c>
      <c r="D3" s="1424"/>
      <c r="E3" s="1422" t="s">
        <v>167</v>
      </c>
      <c r="F3" s="1423"/>
      <c r="G3" s="1425" t="s">
        <v>168</v>
      </c>
      <c r="H3" s="1423"/>
    </row>
    <row r="4" spans="1:8" x14ac:dyDescent="0.25">
      <c r="A4" s="1409" t="s">
        <v>0</v>
      </c>
      <c r="B4" s="1411" t="s">
        <v>1</v>
      </c>
      <c r="C4" s="364" t="s">
        <v>417</v>
      </c>
      <c r="D4" s="365" t="s">
        <v>156</v>
      </c>
      <c r="E4" s="364" t="s">
        <v>417</v>
      </c>
      <c r="F4" s="366" t="s">
        <v>156</v>
      </c>
      <c r="G4" s="367" t="s">
        <v>417</v>
      </c>
      <c r="H4" s="366" t="s">
        <v>156</v>
      </c>
    </row>
    <row r="5" spans="1:8" ht="15.75" thickBot="1" x14ac:dyDescent="0.3">
      <c r="A5" s="1410"/>
      <c r="B5" s="1412"/>
      <c r="C5" s="368" t="s">
        <v>195</v>
      </c>
      <c r="D5" s="369" t="s">
        <v>18</v>
      </c>
      <c r="E5" s="368" t="s">
        <v>195</v>
      </c>
      <c r="F5" s="370" t="s">
        <v>18</v>
      </c>
      <c r="G5" s="371" t="s">
        <v>195</v>
      </c>
      <c r="H5" s="370" t="s">
        <v>18</v>
      </c>
    </row>
    <row r="6" spans="1:8" ht="15.75" thickTop="1" x14ac:dyDescent="0.25">
      <c r="A6" s="9">
        <v>25100</v>
      </c>
      <c r="B6" s="155" t="s">
        <v>2</v>
      </c>
      <c r="C6" s="356">
        <f>D39+D70</f>
        <v>28</v>
      </c>
      <c r="D6" s="357">
        <f>C6*100/$C$24</f>
        <v>5.9701492537313436</v>
      </c>
      <c r="E6" s="356">
        <f>D40+D71</f>
        <v>13</v>
      </c>
      <c r="F6" s="358">
        <f>E6*100/$E$24</f>
        <v>6.9148936170212769</v>
      </c>
      <c r="G6" s="984">
        <f>D41+D72</f>
        <v>4</v>
      </c>
      <c r="H6" s="358">
        <f>G6*100/$G$24</f>
        <v>19.047619047619047</v>
      </c>
    </row>
    <row r="7" spans="1:8" x14ac:dyDescent="0.25">
      <c r="A7" s="10">
        <v>25150</v>
      </c>
      <c r="B7" s="156" t="s">
        <v>3</v>
      </c>
      <c r="C7" s="348">
        <f>D58+D89</f>
        <v>33</v>
      </c>
      <c r="D7" s="357">
        <f t="shared" ref="D7:D23" si="0">C7*100/$C$24</f>
        <v>7.0362473347547976</v>
      </c>
      <c r="E7" s="348">
        <v>0</v>
      </c>
      <c r="F7" s="358">
        <f t="shared" ref="F7:F23" si="1">E7*100/$E$24</f>
        <v>0</v>
      </c>
      <c r="G7" s="985">
        <v>0</v>
      </c>
      <c r="H7" s="358">
        <f t="shared" ref="H7:H23" si="2">G7*100/$G$24</f>
        <v>0</v>
      </c>
    </row>
    <row r="8" spans="1:8" x14ac:dyDescent="0.25">
      <c r="A8" s="10">
        <v>25200</v>
      </c>
      <c r="B8" s="156" t="s">
        <v>4</v>
      </c>
      <c r="C8" s="348">
        <f>D49+D56+D78+D86</f>
        <v>53</v>
      </c>
      <c r="D8" s="357">
        <f t="shared" si="0"/>
        <v>11.300639658848613</v>
      </c>
      <c r="E8" s="348">
        <f>D50+D57+D79+D87</f>
        <v>22</v>
      </c>
      <c r="F8" s="358">
        <f t="shared" si="1"/>
        <v>11.702127659574469</v>
      </c>
      <c r="G8" s="985">
        <f>D80+D88+D51</f>
        <v>4</v>
      </c>
      <c r="H8" s="358">
        <f t="shared" si="2"/>
        <v>19.047619047619047</v>
      </c>
    </row>
    <row r="9" spans="1:8" hidden="1" x14ac:dyDescent="0.25">
      <c r="A9" s="216"/>
      <c r="B9" s="217" t="s">
        <v>117</v>
      </c>
      <c r="C9" s="348">
        <f>D56+D86</f>
        <v>26</v>
      </c>
      <c r="D9" s="357">
        <f t="shared" si="0"/>
        <v>5.5437100213219619</v>
      </c>
      <c r="E9" s="348">
        <f>D57+D87</f>
        <v>11</v>
      </c>
      <c r="F9" s="358">
        <f t="shared" si="1"/>
        <v>5.8510638297872344</v>
      </c>
      <c r="G9" s="985">
        <f>D88</f>
        <v>2</v>
      </c>
      <c r="H9" s="358">
        <f t="shared" si="2"/>
        <v>9.5238095238095237</v>
      </c>
    </row>
    <row r="10" spans="1:8" hidden="1" x14ac:dyDescent="0.25">
      <c r="A10" s="216"/>
      <c r="B10" s="217" t="s">
        <v>118</v>
      </c>
      <c r="C10" s="348">
        <f>D49+D78</f>
        <v>27</v>
      </c>
      <c r="D10" s="357">
        <f t="shared" si="0"/>
        <v>5.7569296375266523</v>
      </c>
      <c r="E10" s="348">
        <f>D50+D79</f>
        <v>11</v>
      </c>
      <c r="F10" s="358">
        <f t="shared" si="1"/>
        <v>5.8510638297872344</v>
      </c>
      <c r="G10" s="985">
        <f>D80+D51</f>
        <v>2</v>
      </c>
      <c r="H10" s="358">
        <f t="shared" si="2"/>
        <v>9.5238095238095237</v>
      </c>
    </row>
    <row r="11" spans="1:8" x14ac:dyDescent="0.25">
      <c r="A11" s="10">
        <v>25300</v>
      </c>
      <c r="B11" s="156" t="s">
        <v>5</v>
      </c>
      <c r="C11" s="348">
        <f>D31+D63</f>
        <v>16</v>
      </c>
      <c r="D11" s="357">
        <f t="shared" si="0"/>
        <v>3.4115138592750531</v>
      </c>
      <c r="E11" s="348">
        <f>D32+D64</f>
        <v>15</v>
      </c>
      <c r="F11" s="358">
        <f t="shared" si="1"/>
        <v>7.9787234042553195</v>
      </c>
      <c r="G11" s="985">
        <v>0</v>
      </c>
      <c r="H11" s="358">
        <f t="shared" si="2"/>
        <v>0</v>
      </c>
    </row>
    <row r="12" spans="1:8" x14ac:dyDescent="0.25">
      <c r="A12" s="10">
        <v>25350</v>
      </c>
      <c r="B12" s="156" t="s">
        <v>6</v>
      </c>
      <c r="C12" s="348">
        <f>D33+D65</f>
        <v>24</v>
      </c>
      <c r="D12" s="357">
        <f t="shared" si="0"/>
        <v>5.1172707889125801</v>
      </c>
      <c r="E12" s="348">
        <f>D34+D66</f>
        <v>21</v>
      </c>
      <c r="F12" s="358">
        <f t="shared" si="1"/>
        <v>11.170212765957446</v>
      </c>
      <c r="G12" s="985">
        <f>D35+D67</f>
        <v>3</v>
      </c>
      <c r="H12" s="358">
        <f t="shared" si="2"/>
        <v>14.285714285714286</v>
      </c>
    </row>
    <row r="13" spans="1:8" x14ac:dyDescent="0.25">
      <c r="A13" s="10">
        <v>25351</v>
      </c>
      <c r="B13" s="156" t="s">
        <v>7</v>
      </c>
      <c r="C13" s="348">
        <f>D36+D68</f>
        <v>23</v>
      </c>
      <c r="D13" s="357">
        <f t="shared" si="0"/>
        <v>4.9040511727078888</v>
      </c>
      <c r="E13" s="348">
        <f>D37+D69</f>
        <v>13</v>
      </c>
      <c r="F13" s="358">
        <f t="shared" si="1"/>
        <v>6.9148936170212769</v>
      </c>
      <c r="G13" s="985">
        <f>D38</f>
        <v>0</v>
      </c>
      <c r="H13" s="358">
        <f t="shared" si="2"/>
        <v>0</v>
      </c>
    </row>
    <row r="14" spans="1:8" x14ac:dyDescent="0.25">
      <c r="A14" s="10">
        <v>25352</v>
      </c>
      <c r="B14" s="156" t="s">
        <v>8</v>
      </c>
      <c r="C14" s="350">
        <v>0</v>
      </c>
      <c r="D14" s="357">
        <f t="shared" si="0"/>
        <v>0</v>
      </c>
      <c r="E14" s="350">
        <v>0</v>
      </c>
      <c r="F14" s="358">
        <f t="shared" si="1"/>
        <v>0</v>
      </c>
      <c r="G14" s="981">
        <v>0</v>
      </c>
      <c r="H14" s="358">
        <f t="shared" si="2"/>
        <v>0</v>
      </c>
    </row>
    <row r="15" spans="1:8" x14ac:dyDescent="0.25">
      <c r="A15" s="10">
        <v>25400</v>
      </c>
      <c r="B15" s="156" t="s">
        <v>9</v>
      </c>
      <c r="C15" s="348">
        <f>D28+D60</f>
        <v>84</v>
      </c>
      <c r="D15" s="357">
        <f t="shared" si="0"/>
        <v>17.910447761194028</v>
      </c>
      <c r="E15" s="348">
        <f>D29+D61</f>
        <v>36</v>
      </c>
      <c r="F15" s="358">
        <f t="shared" si="1"/>
        <v>19.148936170212767</v>
      </c>
      <c r="G15" s="985">
        <f>D30+D62</f>
        <v>1</v>
      </c>
      <c r="H15" s="358">
        <f t="shared" si="2"/>
        <v>4.7619047619047619</v>
      </c>
    </row>
    <row r="16" spans="1:8" x14ac:dyDescent="0.25">
      <c r="A16" s="10">
        <v>25500</v>
      </c>
      <c r="B16" s="156" t="s">
        <v>10</v>
      </c>
      <c r="C16" s="348">
        <f>D54+D82+D84</f>
        <v>37</v>
      </c>
      <c r="D16" s="357">
        <f t="shared" si="0"/>
        <v>7.8891257995735611</v>
      </c>
      <c r="E16" s="348">
        <f>D55+D83+D85</f>
        <v>15</v>
      </c>
      <c r="F16" s="358">
        <f t="shared" si="1"/>
        <v>7.9787234042553195</v>
      </c>
      <c r="G16" s="985">
        <v>0</v>
      </c>
      <c r="H16" s="358">
        <f t="shared" si="2"/>
        <v>0</v>
      </c>
    </row>
    <row r="17" spans="1:8" x14ac:dyDescent="0.25">
      <c r="A17" s="10">
        <v>25600</v>
      </c>
      <c r="B17" s="156" t="s">
        <v>11</v>
      </c>
      <c r="C17" s="348">
        <f>D42+D73</f>
        <v>30</v>
      </c>
      <c r="D17" s="357">
        <f t="shared" si="0"/>
        <v>6.3965884861407245</v>
      </c>
      <c r="E17" s="348">
        <f>D43+D74</f>
        <v>29</v>
      </c>
      <c r="F17" s="358">
        <f t="shared" si="1"/>
        <v>15.425531914893616</v>
      </c>
      <c r="G17" s="985">
        <f>D44</f>
        <v>0</v>
      </c>
      <c r="H17" s="358">
        <f t="shared" si="2"/>
        <v>0</v>
      </c>
    </row>
    <row r="18" spans="1:8" x14ac:dyDescent="0.25">
      <c r="A18" s="10">
        <v>25610</v>
      </c>
      <c r="B18" s="156" t="s">
        <v>12</v>
      </c>
      <c r="C18" s="350">
        <v>0</v>
      </c>
      <c r="D18" s="357">
        <f t="shared" si="0"/>
        <v>0</v>
      </c>
      <c r="E18" s="350">
        <v>0</v>
      </c>
      <c r="F18" s="358">
        <f t="shared" si="1"/>
        <v>0</v>
      </c>
      <c r="G18" s="981">
        <v>0</v>
      </c>
      <c r="H18" s="358">
        <f t="shared" si="2"/>
        <v>0</v>
      </c>
    </row>
    <row r="19" spans="1:8" x14ac:dyDescent="0.25">
      <c r="A19" s="10">
        <v>25700</v>
      </c>
      <c r="B19" s="156" t="s">
        <v>13</v>
      </c>
      <c r="C19" s="348">
        <f>D52+D81</f>
        <v>105</v>
      </c>
      <c r="D19" s="357">
        <f t="shared" si="0"/>
        <v>22.388059701492537</v>
      </c>
      <c r="E19" s="348">
        <f>D53</f>
        <v>0</v>
      </c>
      <c r="F19" s="358">
        <f t="shared" si="1"/>
        <v>0</v>
      </c>
      <c r="G19" s="985">
        <v>0</v>
      </c>
      <c r="H19" s="358">
        <f t="shared" si="2"/>
        <v>0</v>
      </c>
    </row>
    <row r="20" spans="1:8" x14ac:dyDescent="0.25">
      <c r="A20" s="10">
        <v>25800</v>
      </c>
      <c r="B20" s="156" t="s">
        <v>14</v>
      </c>
      <c r="C20" s="348">
        <f>D45+D75</f>
        <v>36</v>
      </c>
      <c r="D20" s="357">
        <f t="shared" si="0"/>
        <v>7.6759061833688698</v>
      </c>
      <c r="E20" s="348">
        <f>D46+D48+D76</f>
        <v>24</v>
      </c>
      <c r="F20" s="358">
        <f t="shared" si="1"/>
        <v>12.76595744680851</v>
      </c>
      <c r="G20" s="985">
        <f>D47+D77</f>
        <v>9</v>
      </c>
      <c r="H20" s="358">
        <f t="shared" si="2"/>
        <v>42.857142857142854</v>
      </c>
    </row>
    <row r="21" spans="1:8" x14ac:dyDescent="0.25">
      <c r="A21" s="10">
        <v>25810</v>
      </c>
      <c r="B21" s="156" t="s">
        <v>15</v>
      </c>
      <c r="C21" s="348">
        <v>0</v>
      </c>
      <c r="D21" s="357">
        <f t="shared" si="0"/>
        <v>0</v>
      </c>
      <c r="E21" s="348">
        <v>0</v>
      </c>
      <c r="F21" s="358">
        <f t="shared" si="1"/>
        <v>0</v>
      </c>
      <c r="G21" s="352">
        <v>0</v>
      </c>
      <c r="H21" s="358">
        <f t="shared" si="2"/>
        <v>0</v>
      </c>
    </row>
    <row r="22" spans="1:8" x14ac:dyDescent="0.25">
      <c r="A22" s="43">
        <v>25820</v>
      </c>
      <c r="B22" s="347" t="s">
        <v>16</v>
      </c>
      <c r="C22" s="350">
        <v>0</v>
      </c>
      <c r="D22" s="357">
        <f t="shared" si="0"/>
        <v>0</v>
      </c>
      <c r="E22" s="355">
        <v>0</v>
      </c>
      <c r="F22" s="358">
        <f t="shared" si="1"/>
        <v>0</v>
      </c>
      <c r="G22" s="354">
        <v>0</v>
      </c>
      <c r="H22" s="358">
        <f t="shared" si="2"/>
        <v>0</v>
      </c>
    </row>
    <row r="23" spans="1:8" ht="15.75" thickBot="1" x14ac:dyDescent="0.3">
      <c r="A23" s="12">
        <v>25830</v>
      </c>
      <c r="B23" s="294" t="s">
        <v>66</v>
      </c>
      <c r="C23" s="360">
        <v>0</v>
      </c>
      <c r="D23" s="361">
        <f t="shared" si="0"/>
        <v>0</v>
      </c>
      <c r="E23" s="360">
        <v>0</v>
      </c>
      <c r="F23" s="362">
        <f t="shared" si="1"/>
        <v>0</v>
      </c>
      <c r="G23" s="363">
        <v>0</v>
      </c>
      <c r="H23" s="362">
        <f t="shared" si="2"/>
        <v>0</v>
      </c>
    </row>
    <row r="24" spans="1:8" ht="16.5" thickTop="1" thickBot="1" x14ac:dyDescent="0.3">
      <c r="A24" s="13">
        <v>25000</v>
      </c>
      <c r="B24" s="158" t="s">
        <v>17</v>
      </c>
      <c r="C24" s="372">
        <f t="shared" ref="C24:H24" si="3">SUM(C6:C23)-C9-C10</f>
        <v>469</v>
      </c>
      <c r="D24" s="373">
        <f t="shared" si="3"/>
        <v>100</v>
      </c>
      <c r="E24" s="372">
        <f t="shared" si="3"/>
        <v>188</v>
      </c>
      <c r="F24" s="374">
        <f t="shared" si="3"/>
        <v>100</v>
      </c>
      <c r="G24" s="375">
        <f t="shared" si="3"/>
        <v>21</v>
      </c>
      <c r="H24" s="374">
        <f t="shared" si="3"/>
        <v>100</v>
      </c>
    </row>
    <row r="25" spans="1:8" x14ac:dyDescent="0.25">
      <c r="A25" s="48"/>
      <c r="B25" s="48"/>
      <c r="C25" s="344">
        <f>D28+D31+D33+D36+D39+D42+D45+D49+D52+D54+D56+D58+D60+D63+D65+D68+D70+D73+D75+D78+D81+D82+D84+D86+D89</f>
        <v>469</v>
      </c>
      <c r="D25" s="345"/>
      <c r="E25" s="346">
        <f>D29+D32+D34+D37+D40+D43+D46+D48+D50+D53+D55+D57+D61+D64+D66+D69+D74+D76+D79+D83+D85+D71+D87</f>
        <v>188</v>
      </c>
      <c r="F25" s="345"/>
      <c r="G25" s="346">
        <f>D30+D35+D38+D41+D44+D47+D51+D62+D67+D72+D77+D88+D80</f>
        <v>21</v>
      </c>
      <c r="H25" s="49"/>
    </row>
    <row r="27" spans="1:8" s="339" customFormat="1" x14ac:dyDescent="0.25">
      <c r="A27" s="339" t="s">
        <v>181</v>
      </c>
      <c r="B27" s="339" t="s">
        <v>182</v>
      </c>
      <c r="C27" s="339" t="s">
        <v>187</v>
      </c>
      <c r="D27" s="339" t="s">
        <v>188</v>
      </c>
    </row>
    <row r="28" spans="1:8" s="689" customFormat="1" x14ac:dyDescent="0.25">
      <c r="A28" s="690" t="s">
        <v>418</v>
      </c>
      <c r="B28" s="690" t="s">
        <v>92</v>
      </c>
      <c r="C28" s="690" t="s">
        <v>190</v>
      </c>
      <c r="D28" s="691">
        <f>[2]VSKP_2022!$D$28</f>
        <v>35</v>
      </c>
    </row>
    <row r="29" spans="1:8" s="689" customFormat="1" x14ac:dyDescent="0.25">
      <c r="A29" s="690" t="s">
        <v>418</v>
      </c>
      <c r="B29" s="690" t="s">
        <v>92</v>
      </c>
      <c r="C29" s="690" t="s">
        <v>191</v>
      </c>
      <c r="D29" s="691">
        <f>[2]VSKP_2022!$D$29</f>
        <v>11</v>
      </c>
    </row>
    <row r="30" spans="1:8" s="689" customFormat="1" x14ac:dyDescent="0.25">
      <c r="A30" s="690" t="s">
        <v>418</v>
      </c>
      <c r="B30" s="690" t="s">
        <v>92</v>
      </c>
      <c r="C30" s="690" t="s">
        <v>189</v>
      </c>
      <c r="D30" s="691">
        <v>0</v>
      </c>
    </row>
    <row r="31" spans="1:8" s="689" customFormat="1" x14ac:dyDescent="0.25">
      <c r="A31" s="690" t="s">
        <v>418</v>
      </c>
      <c r="B31" s="690" t="s">
        <v>177</v>
      </c>
      <c r="C31" s="690" t="s">
        <v>190</v>
      </c>
      <c r="D31" s="691">
        <f>[2]VSKP_2022!$D$30</f>
        <v>3</v>
      </c>
    </row>
    <row r="32" spans="1:8" s="689" customFormat="1" x14ac:dyDescent="0.25">
      <c r="A32" s="690" t="s">
        <v>418</v>
      </c>
      <c r="B32" s="690" t="s">
        <v>177</v>
      </c>
      <c r="C32" s="690" t="s">
        <v>191</v>
      </c>
      <c r="D32" s="691">
        <f>[2]VSKP_2022!$D$31</f>
        <v>11</v>
      </c>
    </row>
    <row r="33" spans="1:4" s="689" customFormat="1" x14ac:dyDescent="0.25">
      <c r="A33" s="690" t="s">
        <v>418</v>
      </c>
      <c r="B33" s="690" t="s">
        <v>176</v>
      </c>
      <c r="C33" s="690" t="s">
        <v>190</v>
      </c>
      <c r="D33" s="691">
        <f>[2]VSKP_2022!$D$32</f>
        <v>8</v>
      </c>
    </row>
    <row r="34" spans="1:4" s="689" customFormat="1" x14ac:dyDescent="0.25">
      <c r="A34" s="690" t="s">
        <v>418</v>
      </c>
      <c r="B34" s="690" t="s">
        <v>176</v>
      </c>
      <c r="C34" s="690" t="s">
        <v>191</v>
      </c>
      <c r="D34" s="691">
        <f>[2]VSKP_2022!$D$33</f>
        <v>10</v>
      </c>
    </row>
    <row r="35" spans="1:4" s="689" customFormat="1" x14ac:dyDescent="0.25">
      <c r="A35" s="690" t="s">
        <v>418</v>
      </c>
      <c r="B35" s="690" t="s">
        <v>176</v>
      </c>
      <c r="C35" s="690" t="s">
        <v>189</v>
      </c>
      <c r="D35" s="691">
        <f>[2]VSKP_2022!$D$34</f>
        <v>1</v>
      </c>
    </row>
    <row r="36" spans="1:4" s="689" customFormat="1" x14ac:dyDescent="0.25">
      <c r="A36" s="690" t="s">
        <v>418</v>
      </c>
      <c r="B36" s="690" t="s">
        <v>91</v>
      </c>
      <c r="C36" s="690" t="s">
        <v>190</v>
      </c>
      <c r="D36" s="691">
        <f>[2]VSKP_2022!$D$35</f>
        <v>9</v>
      </c>
    </row>
    <row r="37" spans="1:4" s="689" customFormat="1" x14ac:dyDescent="0.25">
      <c r="A37" s="690" t="s">
        <v>418</v>
      </c>
      <c r="B37" s="690" t="s">
        <v>91</v>
      </c>
      <c r="C37" s="690" t="s">
        <v>191</v>
      </c>
      <c r="D37" s="691">
        <f>[2]VSKP_2022!$D$36</f>
        <v>7</v>
      </c>
    </row>
    <row r="38" spans="1:4" s="689" customFormat="1" x14ac:dyDescent="0.25">
      <c r="A38" s="690" t="s">
        <v>418</v>
      </c>
      <c r="B38" s="690" t="s">
        <v>91</v>
      </c>
      <c r="C38" s="690" t="s">
        <v>189</v>
      </c>
      <c r="D38" s="691">
        <v>0</v>
      </c>
    </row>
    <row r="39" spans="1:4" s="689" customFormat="1" x14ac:dyDescent="0.25">
      <c r="A39" s="690" t="s">
        <v>418</v>
      </c>
      <c r="B39" s="690" t="s">
        <v>87</v>
      </c>
      <c r="C39" s="690" t="s">
        <v>190</v>
      </c>
      <c r="D39" s="691">
        <f>[2]VSKP_2022!$D$37</f>
        <v>13</v>
      </c>
    </row>
    <row r="40" spans="1:4" s="689" customFormat="1" x14ac:dyDescent="0.25">
      <c r="A40" s="690" t="s">
        <v>418</v>
      </c>
      <c r="B40" s="690" t="s">
        <v>87</v>
      </c>
      <c r="C40" s="690" t="s">
        <v>191</v>
      </c>
      <c r="D40" s="691">
        <f>[2]VSKP_2022!$D$38</f>
        <v>6</v>
      </c>
    </row>
    <row r="41" spans="1:4" s="689" customFormat="1" x14ac:dyDescent="0.25">
      <c r="A41" s="690" t="s">
        <v>418</v>
      </c>
      <c r="B41" s="690" t="s">
        <v>87</v>
      </c>
      <c r="C41" s="690" t="s">
        <v>189</v>
      </c>
      <c r="D41" s="691">
        <f>[2]VSKP_2022!$D$39</f>
        <v>3</v>
      </c>
    </row>
    <row r="42" spans="1:4" s="689" customFormat="1" x14ac:dyDescent="0.25">
      <c r="A42" s="690" t="s">
        <v>418</v>
      </c>
      <c r="B42" s="690" t="s">
        <v>94</v>
      </c>
      <c r="C42" s="690" t="s">
        <v>190</v>
      </c>
      <c r="D42" s="691">
        <f>[2]VSKP_2022!$D$40</f>
        <v>18</v>
      </c>
    </row>
    <row r="43" spans="1:4" s="689" customFormat="1" x14ac:dyDescent="0.25">
      <c r="A43" s="690" t="s">
        <v>418</v>
      </c>
      <c r="B43" s="690" t="s">
        <v>94</v>
      </c>
      <c r="C43" s="690" t="s">
        <v>191</v>
      </c>
      <c r="D43" s="691">
        <f>[2]VSKP_2022!$D$41</f>
        <v>10</v>
      </c>
    </row>
    <row r="44" spans="1:4" s="689" customFormat="1" x14ac:dyDescent="0.25">
      <c r="A44" s="690" t="s">
        <v>418</v>
      </c>
      <c r="B44" s="690" t="s">
        <v>94</v>
      </c>
      <c r="C44" s="690" t="s">
        <v>189</v>
      </c>
      <c r="D44" s="691">
        <v>0</v>
      </c>
    </row>
    <row r="45" spans="1:4" s="689" customFormat="1" x14ac:dyDescent="0.25">
      <c r="A45" s="690" t="s">
        <v>418</v>
      </c>
      <c r="B45" s="690" t="s">
        <v>96</v>
      </c>
      <c r="C45" s="690" t="s">
        <v>190</v>
      </c>
      <c r="D45" s="691">
        <f>[2]VSKP_2022!$D$42</f>
        <v>22</v>
      </c>
    </row>
    <row r="46" spans="1:4" s="689" customFormat="1" x14ac:dyDescent="0.25">
      <c r="A46" s="690" t="s">
        <v>418</v>
      </c>
      <c r="B46" s="690" t="s">
        <v>96</v>
      </c>
      <c r="C46" s="690" t="s">
        <v>191</v>
      </c>
      <c r="D46" s="691">
        <f>[2]VSKP_2022!$D$43</f>
        <v>9</v>
      </c>
    </row>
    <row r="47" spans="1:4" s="689" customFormat="1" x14ac:dyDescent="0.25">
      <c r="A47" s="690" t="s">
        <v>418</v>
      </c>
      <c r="B47" s="690" t="s">
        <v>96</v>
      </c>
      <c r="C47" s="690" t="s">
        <v>189</v>
      </c>
      <c r="D47" s="691">
        <f>[2]VSKP_2022!$D$44</f>
        <v>5</v>
      </c>
    </row>
    <row r="48" spans="1:4" s="689" customFormat="1" x14ac:dyDescent="0.25">
      <c r="A48" s="690" t="s">
        <v>418</v>
      </c>
      <c r="B48" s="690" t="s">
        <v>96</v>
      </c>
      <c r="C48" s="690" t="s">
        <v>192</v>
      </c>
      <c r="D48" s="691">
        <v>0</v>
      </c>
    </row>
    <row r="49" spans="1:4" s="689" customFormat="1" x14ac:dyDescent="0.25">
      <c r="A49" s="690" t="s">
        <v>418</v>
      </c>
      <c r="B49" s="690" t="s">
        <v>178</v>
      </c>
      <c r="C49" s="690" t="s">
        <v>190</v>
      </c>
      <c r="D49" s="691">
        <f>[2]VSKP_2022!$D$45</f>
        <v>10</v>
      </c>
    </row>
    <row r="50" spans="1:4" s="689" customFormat="1" x14ac:dyDescent="0.25">
      <c r="A50" s="690" t="s">
        <v>418</v>
      </c>
      <c r="B50" s="690" t="s">
        <v>178</v>
      </c>
      <c r="C50" s="690" t="s">
        <v>191</v>
      </c>
      <c r="D50" s="691">
        <f>[2]VSKP_2022!$D$46</f>
        <v>5</v>
      </c>
    </row>
    <row r="51" spans="1:4" s="689" customFormat="1" x14ac:dyDescent="0.25">
      <c r="A51" s="690" t="s">
        <v>418</v>
      </c>
      <c r="B51" s="690" t="s">
        <v>178</v>
      </c>
      <c r="C51" s="690" t="s">
        <v>189</v>
      </c>
      <c r="D51" s="691">
        <f>[2]VSKP_2022!$D$47</f>
        <v>1</v>
      </c>
    </row>
    <row r="52" spans="1:4" s="689" customFormat="1" x14ac:dyDescent="0.25">
      <c r="A52" s="690" t="s">
        <v>418</v>
      </c>
      <c r="B52" s="690" t="s">
        <v>95</v>
      </c>
      <c r="C52" s="690" t="s">
        <v>190</v>
      </c>
      <c r="D52" s="691">
        <f>[2]VSKP_2022!$D$48</f>
        <v>48</v>
      </c>
    </row>
    <row r="53" spans="1:4" s="689" customFormat="1" x14ac:dyDescent="0.25">
      <c r="A53" s="690" t="s">
        <v>418</v>
      </c>
      <c r="B53" s="690" t="s">
        <v>95</v>
      </c>
      <c r="C53" s="690" t="s">
        <v>191</v>
      </c>
      <c r="D53" s="691">
        <v>0</v>
      </c>
    </row>
    <row r="54" spans="1:4" s="689" customFormat="1" x14ac:dyDescent="0.25">
      <c r="A54" s="690" t="s">
        <v>418</v>
      </c>
      <c r="B54" s="690" t="s">
        <v>93</v>
      </c>
      <c r="C54" s="690" t="s">
        <v>190</v>
      </c>
      <c r="D54" s="691">
        <f>[2]VSKP_2022!$D$49</f>
        <v>14</v>
      </c>
    </row>
    <row r="55" spans="1:4" s="689" customFormat="1" x14ac:dyDescent="0.25">
      <c r="A55" s="690" t="s">
        <v>418</v>
      </c>
      <c r="B55" s="690" t="s">
        <v>93</v>
      </c>
      <c r="C55" s="690" t="s">
        <v>191</v>
      </c>
      <c r="D55" s="691">
        <f>[2]VSKP_2022!$D$50</f>
        <v>6</v>
      </c>
    </row>
    <row r="56" spans="1:4" s="689" customFormat="1" x14ac:dyDescent="0.25">
      <c r="A56" s="690" t="s">
        <v>418</v>
      </c>
      <c r="B56" s="690" t="s">
        <v>179</v>
      </c>
      <c r="C56" s="690" t="s">
        <v>190</v>
      </c>
      <c r="D56" s="691">
        <f>[2]VSKP_2022!$D$51</f>
        <v>9</v>
      </c>
    </row>
    <row r="57" spans="1:4" s="689" customFormat="1" x14ac:dyDescent="0.25">
      <c r="A57" s="690" t="s">
        <v>418</v>
      </c>
      <c r="B57" s="690" t="s">
        <v>179</v>
      </c>
      <c r="C57" s="690" t="s">
        <v>191</v>
      </c>
      <c r="D57" s="691">
        <f>[2]VSKP_2022!$D$52</f>
        <v>8</v>
      </c>
    </row>
    <row r="58" spans="1:4" s="689" customFormat="1" x14ac:dyDescent="0.25">
      <c r="A58" s="690" t="s">
        <v>418</v>
      </c>
      <c r="B58" s="690" t="s">
        <v>88</v>
      </c>
      <c r="C58" s="690" t="s">
        <v>190</v>
      </c>
      <c r="D58" s="691">
        <f>[2]VSKP_2022!$D$53</f>
        <v>21</v>
      </c>
    </row>
    <row r="59" spans="1:4" x14ac:dyDescent="0.25">
      <c r="A59" s="978"/>
      <c r="B59" s="978"/>
      <c r="C59" s="978"/>
      <c r="D59" s="979"/>
    </row>
    <row r="60" spans="1:4" x14ac:dyDescent="0.25">
      <c r="A60" s="978" t="s">
        <v>340</v>
      </c>
      <c r="B60" s="978" t="s">
        <v>92</v>
      </c>
      <c r="C60" s="978" t="s">
        <v>190</v>
      </c>
      <c r="D60" s="979">
        <v>49</v>
      </c>
    </row>
    <row r="61" spans="1:4" x14ac:dyDescent="0.25">
      <c r="A61" s="978" t="s">
        <v>340</v>
      </c>
      <c r="B61" s="978" t="s">
        <v>92</v>
      </c>
      <c r="C61" s="978" t="s">
        <v>191</v>
      </c>
      <c r="D61" s="979">
        <v>25</v>
      </c>
    </row>
    <row r="62" spans="1:4" x14ac:dyDescent="0.25">
      <c r="A62" s="978" t="s">
        <v>340</v>
      </c>
      <c r="B62" s="978" t="s">
        <v>92</v>
      </c>
      <c r="C62" s="978" t="s">
        <v>189</v>
      </c>
      <c r="D62" s="979">
        <v>1</v>
      </c>
    </row>
    <row r="63" spans="1:4" x14ac:dyDescent="0.25">
      <c r="A63" s="978" t="s">
        <v>340</v>
      </c>
      <c r="B63" s="978" t="s">
        <v>177</v>
      </c>
      <c r="C63" s="978" t="s">
        <v>190</v>
      </c>
      <c r="D63" s="979">
        <v>13</v>
      </c>
    </row>
    <row r="64" spans="1:4" x14ac:dyDescent="0.25">
      <c r="A64" s="978" t="s">
        <v>340</v>
      </c>
      <c r="B64" s="978" t="s">
        <v>177</v>
      </c>
      <c r="C64" s="978" t="s">
        <v>191</v>
      </c>
      <c r="D64" s="979">
        <v>4</v>
      </c>
    </row>
    <row r="65" spans="1:4" x14ac:dyDescent="0.25">
      <c r="A65" s="978" t="s">
        <v>340</v>
      </c>
      <c r="B65" s="978" t="s">
        <v>176</v>
      </c>
      <c r="C65" s="978" t="s">
        <v>190</v>
      </c>
      <c r="D65" s="979">
        <v>16</v>
      </c>
    </row>
    <row r="66" spans="1:4" x14ac:dyDescent="0.25">
      <c r="A66" s="978" t="s">
        <v>340</v>
      </c>
      <c r="B66" s="978" t="s">
        <v>176</v>
      </c>
      <c r="C66" s="978" t="s">
        <v>191</v>
      </c>
      <c r="D66" s="979">
        <v>11</v>
      </c>
    </row>
    <row r="67" spans="1:4" x14ac:dyDescent="0.25">
      <c r="A67" s="978" t="s">
        <v>340</v>
      </c>
      <c r="B67" s="978" t="s">
        <v>176</v>
      </c>
      <c r="C67" s="978" t="s">
        <v>189</v>
      </c>
      <c r="D67" s="979">
        <v>2</v>
      </c>
    </row>
    <row r="68" spans="1:4" x14ac:dyDescent="0.25">
      <c r="A68" s="978" t="s">
        <v>340</v>
      </c>
      <c r="B68" s="978" t="s">
        <v>91</v>
      </c>
      <c r="C68" s="978" t="s">
        <v>190</v>
      </c>
      <c r="D68" s="979">
        <v>14</v>
      </c>
    </row>
    <row r="69" spans="1:4" x14ac:dyDescent="0.25">
      <c r="A69" s="978" t="s">
        <v>340</v>
      </c>
      <c r="B69" s="978" t="s">
        <v>91</v>
      </c>
      <c r="C69" s="978" t="s">
        <v>191</v>
      </c>
      <c r="D69" s="979">
        <v>6</v>
      </c>
    </row>
    <row r="70" spans="1:4" x14ac:dyDescent="0.25">
      <c r="A70" s="978" t="s">
        <v>340</v>
      </c>
      <c r="B70" s="978" t="s">
        <v>87</v>
      </c>
      <c r="C70" s="978" t="s">
        <v>190</v>
      </c>
      <c r="D70" s="979">
        <v>15</v>
      </c>
    </row>
    <row r="71" spans="1:4" x14ac:dyDescent="0.25">
      <c r="A71" s="978" t="s">
        <v>340</v>
      </c>
      <c r="B71" s="978" t="s">
        <v>87</v>
      </c>
      <c r="C71" s="978" t="s">
        <v>191</v>
      </c>
      <c r="D71" s="979">
        <v>7</v>
      </c>
    </row>
    <row r="72" spans="1:4" x14ac:dyDescent="0.25">
      <c r="A72" s="978" t="s">
        <v>340</v>
      </c>
      <c r="B72" s="978" t="s">
        <v>87</v>
      </c>
      <c r="C72" s="978" t="s">
        <v>189</v>
      </c>
      <c r="D72" s="979">
        <v>1</v>
      </c>
    </row>
    <row r="73" spans="1:4" x14ac:dyDescent="0.25">
      <c r="A73" s="978" t="s">
        <v>340</v>
      </c>
      <c r="B73" s="978" t="s">
        <v>94</v>
      </c>
      <c r="C73" s="978" t="s">
        <v>190</v>
      </c>
      <c r="D73" s="979">
        <v>12</v>
      </c>
    </row>
    <row r="74" spans="1:4" x14ac:dyDescent="0.25">
      <c r="A74" s="978" t="s">
        <v>340</v>
      </c>
      <c r="B74" s="978" t="s">
        <v>94</v>
      </c>
      <c r="C74" s="978" t="s">
        <v>191</v>
      </c>
      <c r="D74" s="979">
        <v>19</v>
      </c>
    </row>
    <row r="75" spans="1:4" x14ac:dyDescent="0.25">
      <c r="A75" s="978" t="s">
        <v>340</v>
      </c>
      <c r="B75" s="978" t="s">
        <v>96</v>
      </c>
      <c r="C75" s="978" t="s">
        <v>190</v>
      </c>
      <c r="D75" s="979">
        <v>14</v>
      </c>
    </row>
    <row r="76" spans="1:4" x14ac:dyDescent="0.25">
      <c r="A76" s="978" t="s">
        <v>340</v>
      </c>
      <c r="B76" s="978" t="s">
        <v>96</v>
      </c>
      <c r="C76" s="978" t="s">
        <v>191</v>
      </c>
      <c r="D76" s="979">
        <v>15</v>
      </c>
    </row>
    <row r="77" spans="1:4" x14ac:dyDescent="0.25">
      <c r="A77" s="978" t="s">
        <v>340</v>
      </c>
      <c r="B77" s="978" t="s">
        <v>96</v>
      </c>
      <c r="C77" s="978" t="s">
        <v>189</v>
      </c>
      <c r="D77" s="979">
        <v>4</v>
      </c>
    </row>
    <row r="78" spans="1:4" x14ac:dyDescent="0.25">
      <c r="A78" s="978" t="s">
        <v>340</v>
      </c>
      <c r="B78" s="978" t="s">
        <v>178</v>
      </c>
      <c r="C78" s="978" t="s">
        <v>190</v>
      </c>
      <c r="D78" s="979">
        <v>17</v>
      </c>
    </row>
    <row r="79" spans="1:4" x14ac:dyDescent="0.25">
      <c r="A79" s="978" t="s">
        <v>340</v>
      </c>
      <c r="B79" s="978" t="s">
        <v>178</v>
      </c>
      <c r="C79" s="978" t="s">
        <v>191</v>
      </c>
      <c r="D79" s="979">
        <v>6</v>
      </c>
    </row>
    <row r="80" spans="1:4" x14ac:dyDescent="0.25">
      <c r="A80" s="978" t="s">
        <v>340</v>
      </c>
      <c r="B80" s="978" t="s">
        <v>178</v>
      </c>
      <c r="C80" s="978" t="s">
        <v>189</v>
      </c>
      <c r="D80" s="979">
        <v>1</v>
      </c>
    </row>
    <row r="81" spans="1:4" x14ac:dyDescent="0.25">
      <c r="A81" s="978" t="s">
        <v>340</v>
      </c>
      <c r="B81" s="978" t="s">
        <v>95</v>
      </c>
      <c r="C81" s="978" t="s">
        <v>190</v>
      </c>
      <c r="D81" s="979">
        <v>57</v>
      </c>
    </row>
    <row r="82" spans="1:4" x14ac:dyDescent="0.25">
      <c r="A82" s="978" t="s">
        <v>340</v>
      </c>
      <c r="B82" s="978" t="s">
        <v>93</v>
      </c>
      <c r="C82" s="978" t="s">
        <v>190</v>
      </c>
      <c r="D82" s="979">
        <v>22</v>
      </c>
    </row>
    <row r="83" spans="1:4" x14ac:dyDescent="0.25">
      <c r="A83" s="978" t="s">
        <v>340</v>
      </c>
      <c r="B83" s="978" t="s">
        <v>93</v>
      </c>
      <c r="C83" s="978" t="s">
        <v>191</v>
      </c>
      <c r="D83" s="979">
        <v>6</v>
      </c>
    </row>
    <row r="84" spans="1:4" x14ac:dyDescent="0.25">
      <c r="A84" s="978" t="s">
        <v>340</v>
      </c>
      <c r="B84" s="978" t="s">
        <v>185</v>
      </c>
      <c r="C84" s="978" t="s">
        <v>190</v>
      </c>
      <c r="D84" s="979">
        <v>1</v>
      </c>
    </row>
    <row r="85" spans="1:4" x14ac:dyDescent="0.25">
      <c r="A85" s="978" t="s">
        <v>340</v>
      </c>
      <c r="B85" s="978" t="s">
        <v>185</v>
      </c>
      <c r="C85" s="978" t="s">
        <v>191</v>
      </c>
      <c r="D85" s="979">
        <v>3</v>
      </c>
    </row>
    <row r="86" spans="1:4" x14ac:dyDescent="0.25">
      <c r="A86" s="978" t="s">
        <v>340</v>
      </c>
      <c r="B86" s="978" t="s">
        <v>179</v>
      </c>
      <c r="C86" s="978" t="s">
        <v>190</v>
      </c>
      <c r="D86" s="979">
        <v>17</v>
      </c>
    </row>
    <row r="87" spans="1:4" x14ac:dyDescent="0.25">
      <c r="A87" s="978" t="s">
        <v>340</v>
      </c>
      <c r="B87" s="978" t="s">
        <v>179</v>
      </c>
      <c r="C87" s="978" t="s">
        <v>191</v>
      </c>
      <c r="D87" s="979">
        <v>3</v>
      </c>
    </row>
    <row r="88" spans="1:4" x14ac:dyDescent="0.25">
      <c r="A88" s="978" t="s">
        <v>340</v>
      </c>
      <c r="B88" s="978" t="s">
        <v>179</v>
      </c>
      <c r="C88" s="978" t="s">
        <v>189</v>
      </c>
      <c r="D88" s="979">
        <v>2</v>
      </c>
    </row>
    <row r="89" spans="1:4" x14ac:dyDescent="0.25">
      <c r="A89" s="978" t="s">
        <v>340</v>
      </c>
      <c r="B89" s="978" t="s">
        <v>88</v>
      </c>
      <c r="C89" s="978" t="s">
        <v>190</v>
      </c>
      <c r="D89" s="979">
        <v>12</v>
      </c>
    </row>
    <row r="90" spans="1:4" x14ac:dyDescent="0.25">
      <c r="A90" s="340"/>
      <c r="B90" s="340"/>
      <c r="C90" s="340"/>
    </row>
    <row r="91" spans="1:4" x14ac:dyDescent="0.25">
      <c r="A91" s="340"/>
      <c r="B91" s="340"/>
      <c r="C91" s="340"/>
    </row>
    <row r="92" spans="1:4" x14ac:dyDescent="0.25">
      <c r="A92" s="340"/>
      <c r="B92" s="340"/>
      <c r="C92" s="340"/>
    </row>
    <row r="93" spans="1:4" x14ac:dyDescent="0.25">
      <c r="A93" s="340"/>
      <c r="B93" s="340"/>
      <c r="C93" s="340"/>
    </row>
  </sheetData>
  <autoFilter ref="A27:D93" xr:uid="{00000000-0009-0000-0000-000005000000}"/>
  <mergeCells count="5">
    <mergeCell ref="A4:A5"/>
    <mergeCell ref="B4:B5"/>
    <mergeCell ref="C3:D3"/>
    <mergeCell ref="E3:F3"/>
    <mergeCell ref="G3:H3"/>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V26"/>
  <sheetViews>
    <sheetView zoomScaleNormal="100" workbookViewId="0"/>
  </sheetViews>
  <sheetFormatPr defaultRowHeight="12.75" x14ac:dyDescent="0.2"/>
  <cols>
    <col min="1" max="1" width="13.140625" customWidth="1"/>
    <col min="2" max="2" width="6.85546875" customWidth="1"/>
    <col min="3" max="4" width="5.7109375" bestFit="1" customWidth="1"/>
    <col min="5" max="6" width="6.28515625" style="270" hidden="1" customWidth="1"/>
    <col min="7" max="7" width="5.28515625" bestFit="1" customWidth="1"/>
    <col min="8" max="8" width="5.28515625" customWidth="1"/>
    <col min="9" max="11" width="5.7109375" bestFit="1" customWidth="1"/>
    <col min="12" max="13" width="5.7109375" style="270" bestFit="1" customWidth="1"/>
    <col min="14" max="14" width="5.7109375" bestFit="1" customWidth="1"/>
    <col min="15" max="15" width="5.28515625" customWidth="1"/>
    <col min="16" max="16" width="7.140625" customWidth="1"/>
    <col min="17" max="17" width="5.28515625" customWidth="1"/>
    <col min="18" max="18" width="6.7109375" customWidth="1"/>
    <col min="20" max="20" width="38.5703125" style="1" customWidth="1"/>
    <col min="21" max="21" width="7.85546875" style="2" customWidth="1"/>
    <col min="22" max="22" width="5.42578125" customWidth="1"/>
    <col min="23" max="23" width="7.85546875" customWidth="1"/>
    <col min="24" max="24" width="5.140625" customWidth="1"/>
    <col min="25" max="25" width="7.85546875" customWidth="1"/>
    <col min="26" max="26" width="5.140625" customWidth="1"/>
  </cols>
  <sheetData>
    <row r="1" spans="1:22" ht="15" x14ac:dyDescent="0.25">
      <c r="A1" s="101" t="s">
        <v>420</v>
      </c>
    </row>
    <row r="3" spans="1:22" ht="13.5" thickBot="1" x14ac:dyDescent="0.25">
      <c r="A3" s="103" t="s">
        <v>335</v>
      </c>
    </row>
    <row r="4" spans="1:22" ht="13.5" thickBot="1" x14ac:dyDescent="0.25">
      <c r="B4" s="337" t="s">
        <v>87</v>
      </c>
      <c r="C4" s="337" t="s">
        <v>88</v>
      </c>
      <c r="D4" s="337" t="s">
        <v>180</v>
      </c>
      <c r="E4" s="338" t="s">
        <v>179</v>
      </c>
      <c r="F4" s="338" t="s">
        <v>178</v>
      </c>
      <c r="G4" s="337" t="s">
        <v>177</v>
      </c>
      <c r="H4" s="337" t="s">
        <v>176</v>
      </c>
      <c r="I4" s="337" t="s">
        <v>91</v>
      </c>
      <c r="J4" s="337" t="s">
        <v>92</v>
      </c>
      <c r="K4" s="337" t="s">
        <v>93</v>
      </c>
      <c r="L4" s="337" t="s">
        <v>94</v>
      </c>
      <c r="M4" s="337" t="s">
        <v>95</v>
      </c>
      <c r="N4" s="337" t="s">
        <v>96</v>
      </c>
      <c r="O4" s="337" t="s">
        <v>97</v>
      </c>
      <c r="P4" s="48"/>
      <c r="S4" s="1"/>
      <c r="T4" s="2"/>
      <c r="U4" s="1426" t="s">
        <v>194</v>
      </c>
      <c r="V4" s="1427"/>
    </row>
    <row r="5" spans="1:22" x14ac:dyDescent="0.2">
      <c r="A5" s="104" t="s">
        <v>36</v>
      </c>
      <c r="B5" s="88">
        <v>25100</v>
      </c>
      <c r="C5" s="88">
        <v>25150</v>
      </c>
      <c r="D5" s="88">
        <v>25200</v>
      </c>
      <c r="E5" s="267">
        <v>25220</v>
      </c>
      <c r="F5" s="267">
        <v>25230</v>
      </c>
      <c r="G5" s="88">
        <v>25300</v>
      </c>
      <c r="H5" s="88">
        <v>25350</v>
      </c>
      <c r="I5" s="88">
        <v>25351</v>
      </c>
      <c r="J5" s="88">
        <v>25400</v>
      </c>
      <c r="K5" s="88">
        <v>25500</v>
      </c>
      <c r="L5" s="88">
        <v>25600</v>
      </c>
      <c r="M5" s="88">
        <v>25700</v>
      </c>
      <c r="N5" s="88">
        <v>25800</v>
      </c>
      <c r="O5" s="88">
        <v>25810</v>
      </c>
      <c r="P5" s="105" t="s">
        <v>17</v>
      </c>
      <c r="S5" s="1409" t="s">
        <v>0</v>
      </c>
      <c r="T5" s="1411" t="s">
        <v>1</v>
      </c>
      <c r="U5" s="364" t="s">
        <v>417</v>
      </c>
      <c r="V5" s="366" t="s">
        <v>156</v>
      </c>
    </row>
    <row r="6" spans="1:22" ht="13.5" thickBot="1" x14ac:dyDescent="0.25">
      <c r="A6" s="106" t="s">
        <v>175</v>
      </c>
      <c r="B6" s="335">
        <v>179</v>
      </c>
      <c r="C6" s="335">
        <v>172.5</v>
      </c>
      <c r="D6" s="335">
        <v>156</v>
      </c>
      <c r="E6" s="336">
        <v>90</v>
      </c>
      <c r="F6" s="336">
        <v>66</v>
      </c>
      <c r="G6" s="335">
        <v>89.5</v>
      </c>
      <c r="H6" s="335">
        <v>59.5</v>
      </c>
      <c r="I6" s="335">
        <v>74.5</v>
      </c>
      <c r="J6" s="335">
        <v>329.5</v>
      </c>
      <c r="K6" s="335">
        <v>127.5</v>
      </c>
      <c r="L6" s="335">
        <v>132</v>
      </c>
      <c r="M6" s="335">
        <v>202</v>
      </c>
      <c r="N6" s="335">
        <v>189</v>
      </c>
      <c r="O6" s="335">
        <v>6.5</v>
      </c>
      <c r="P6" s="208">
        <f>SUM(B6:O6)-E6-F6</f>
        <v>1717.5</v>
      </c>
      <c r="S6" s="1410"/>
      <c r="T6" s="1412"/>
      <c r="U6" s="368" t="s">
        <v>193</v>
      </c>
      <c r="V6" s="370" t="s">
        <v>18</v>
      </c>
    </row>
    <row r="7" spans="1:22" ht="13.5" thickTop="1" x14ac:dyDescent="0.2">
      <c r="A7" s="106" t="s">
        <v>18</v>
      </c>
      <c r="B7" s="109">
        <f t="shared" ref="B7:O7" si="0">(B6*100)/$P$6</f>
        <v>10.422125181950509</v>
      </c>
      <c r="C7" s="109">
        <f t="shared" si="0"/>
        <v>10.043668122270743</v>
      </c>
      <c r="D7" s="109">
        <f t="shared" si="0"/>
        <v>9.0829694323144103</v>
      </c>
      <c r="E7" s="301">
        <f t="shared" si="0"/>
        <v>5.2401746724890828</v>
      </c>
      <c r="F7" s="301">
        <f t="shared" si="0"/>
        <v>3.8427947598253276</v>
      </c>
      <c r="G7" s="109">
        <f t="shared" si="0"/>
        <v>5.2110625909752546</v>
      </c>
      <c r="H7" s="109">
        <f t="shared" si="0"/>
        <v>3.4643377001455602</v>
      </c>
      <c r="I7" s="109">
        <f t="shared" si="0"/>
        <v>4.3377001455604072</v>
      </c>
      <c r="J7" s="109">
        <f t="shared" si="0"/>
        <v>19.184861717612808</v>
      </c>
      <c r="K7" s="109">
        <f t="shared" si="0"/>
        <v>7.4235807860262009</v>
      </c>
      <c r="L7" s="109">
        <f t="shared" si="0"/>
        <v>7.6855895196506552</v>
      </c>
      <c r="M7" s="109">
        <f t="shared" si="0"/>
        <v>11.761280931586608</v>
      </c>
      <c r="N7" s="109">
        <f t="shared" si="0"/>
        <v>11.004366812227074</v>
      </c>
      <c r="O7" s="109">
        <f t="shared" si="0"/>
        <v>0.37845705967976712</v>
      </c>
      <c r="P7" s="208">
        <f>SUM(B7:O7)-E7-F7</f>
        <v>100</v>
      </c>
      <c r="S7" s="9">
        <v>25100</v>
      </c>
      <c r="T7" s="155" t="s">
        <v>2</v>
      </c>
      <c r="U7" s="356">
        <f>B6+B18</f>
        <v>398</v>
      </c>
      <c r="V7" s="358">
        <f>U7*100/$U$25</f>
        <v>11.316462894512368</v>
      </c>
    </row>
    <row r="8" spans="1:22" x14ac:dyDescent="0.2">
      <c r="A8" s="80"/>
      <c r="B8" s="112"/>
      <c r="C8" s="112"/>
      <c r="D8" s="112"/>
      <c r="E8" s="269"/>
      <c r="F8" s="269"/>
      <c r="G8" s="112"/>
      <c r="H8" s="112"/>
      <c r="I8" s="112"/>
      <c r="J8" s="112"/>
      <c r="K8" s="112"/>
      <c r="L8" s="112"/>
      <c r="M8" s="112"/>
      <c r="N8" s="112"/>
      <c r="O8" s="112"/>
      <c r="P8" s="112"/>
      <c r="S8" s="10">
        <v>25150</v>
      </c>
      <c r="T8" s="156" t="s">
        <v>3</v>
      </c>
      <c r="U8" s="348">
        <f>C6+C18</f>
        <v>363.5</v>
      </c>
      <c r="V8" s="358">
        <f t="shared" ref="V8:V25" si="1">U8*100/$U$25</f>
        <v>10.335513221495592</v>
      </c>
    </row>
    <row r="9" spans="1:22" x14ac:dyDescent="0.2">
      <c r="A9" s="49" t="s">
        <v>174</v>
      </c>
      <c r="B9" s="49" t="s">
        <v>173</v>
      </c>
      <c r="C9" s="49"/>
      <c r="M9" s="112"/>
      <c r="N9" s="112"/>
      <c r="O9" s="112"/>
      <c r="P9" s="112"/>
      <c r="S9" s="10">
        <v>25200</v>
      </c>
      <c r="T9" s="156" t="s">
        <v>4</v>
      </c>
      <c r="U9" s="348">
        <f>D6+D18</f>
        <v>289.5</v>
      </c>
      <c r="V9" s="358">
        <f t="shared" si="1"/>
        <v>8.2314472561842482</v>
      </c>
    </row>
    <row r="10" spans="1:22" x14ac:dyDescent="0.2">
      <c r="A10" s="49"/>
      <c r="B10" s="982" t="s">
        <v>338</v>
      </c>
      <c r="C10" s="49"/>
      <c r="M10" s="112"/>
      <c r="N10" s="112"/>
      <c r="O10" s="112"/>
      <c r="P10" s="112"/>
      <c r="S10" s="1499"/>
      <c r="T10" s="1500" t="s">
        <v>117</v>
      </c>
      <c r="U10" s="1501">
        <f>E6+E18</f>
        <v>161</v>
      </c>
      <c r="V10" s="1502">
        <f t="shared" si="1"/>
        <v>4.5777651407449529</v>
      </c>
    </row>
    <row r="11" spans="1:22" x14ac:dyDescent="0.2">
      <c r="A11" s="49"/>
      <c r="B11" s="982" t="s">
        <v>339</v>
      </c>
      <c r="C11" s="49"/>
      <c r="M11" s="112"/>
      <c r="N11" s="112"/>
      <c r="O11" s="112"/>
      <c r="P11" s="112"/>
      <c r="S11" s="1499"/>
      <c r="T11" s="1500" t="s">
        <v>118</v>
      </c>
      <c r="U11" s="1501">
        <f>F6+F18</f>
        <v>128.5</v>
      </c>
      <c r="V11" s="1502">
        <f t="shared" si="1"/>
        <v>3.6536821154392949</v>
      </c>
    </row>
    <row r="12" spans="1:22" x14ac:dyDescent="0.2">
      <c r="A12" s="49"/>
      <c r="B12" s="982" t="s">
        <v>336</v>
      </c>
      <c r="C12" s="49"/>
      <c r="M12" s="112"/>
      <c r="N12" s="112"/>
      <c r="O12" s="112"/>
      <c r="P12" s="112"/>
      <c r="S12" s="10">
        <v>25300</v>
      </c>
      <c r="T12" s="156" t="s">
        <v>5</v>
      </c>
      <c r="U12" s="348">
        <f>G6+G18</f>
        <v>197.25</v>
      </c>
      <c r="V12" s="358">
        <f t="shared" si="1"/>
        <v>5.6084731305089566</v>
      </c>
    </row>
    <row r="13" spans="1:22" x14ac:dyDescent="0.2">
      <c r="A13" s="49"/>
      <c r="B13" s="983" t="s">
        <v>337</v>
      </c>
      <c r="C13" s="49"/>
      <c r="M13" s="112"/>
      <c r="N13" s="112"/>
      <c r="O13" s="112"/>
      <c r="P13" s="112"/>
      <c r="S13" s="10">
        <v>25350</v>
      </c>
      <c r="T13" s="156" t="s">
        <v>6</v>
      </c>
      <c r="U13" s="348">
        <f>H6+H18</f>
        <v>132.25</v>
      </c>
      <c r="V13" s="358">
        <f t="shared" si="1"/>
        <v>3.7603070798976401</v>
      </c>
    </row>
    <row r="14" spans="1:22" x14ac:dyDescent="0.2">
      <c r="A14" s="80"/>
      <c r="B14" s="112"/>
      <c r="C14" s="112"/>
      <c r="D14" s="112"/>
      <c r="E14" s="269"/>
      <c r="F14" s="269"/>
      <c r="G14" s="112"/>
      <c r="H14" s="112"/>
      <c r="I14" s="112"/>
      <c r="J14" s="112"/>
      <c r="K14" s="112"/>
      <c r="L14" s="112"/>
      <c r="M14" s="112"/>
      <c r="N14" s="112"/>
      <c r="O14" s="112"/>
      <c r="P14" s="112"/>
      <c r="S14" s="10">
        <v>25351</v>
      </c>
      <c r="T14" s="156" t="s">
        <v>7</v>
      </c>
      <c r="U14" s="348">
        <f>I6+I18</f>
        <v>151.5</v>
      </c>
      <c r="V14" s="358">
        <f t="shared" si="1"/>
        <v>4.3076485641171454</v>
      </c>
    </row>
    <row r="15" spans="1:22" x14ac:dyDescent="0.2">
      <c r="A15" s="103" t="s">
        <v>419</v>
      </c>
      <c r="B15" s="112"/>
      <c r="C15" s="112"/>
      <c r="D15" s="112"/>
      <c r="E15" s="269"/>
      <c r="F15" s="269"/>
      <c r="G15" s="112"/>
      <c r="H15" s="112"/>
      <c r="I15" s="112"/>
      <c r="J15" s="112"/>
      <c r="K15" s="112"/>
      <c r="L15" s="112"/>
      <c r="M15" s="112"/>
      <c r="N15" s="112"/>
      <c r="O15" s="112"/>
      <c r="P15" s="112"/>
      <c r="S15" s="10">
        <v>25352</v>
      </c>
      <c r="T15" s="156" t="s">
        <v>8</v>
      </c>
      <c r="U15" s="348">
        <v>0</v>
      </c>
      <c r="V15" s="358">
        <f t="shared" si="1"/>
        <v>0</v>
      </c>
    </row>
    <row r="16" spans="1:22" x14ac:dyDescent="0.2">
      <c r="B16" s="337" t="s">
        <v>87</v>
      </c>
      <c r="C16" s="337" t="s">
        <v>88</v>
      </c>
      <c r="D16" s="337" t="s">
        <v>180</v>
      </c>
      <c r="E16" s="338" t="s">
        <v>179</v>
      </c>
      <c r="F16" s="338" t="s">
        <v>178</v>
      </c>
      <c r="G16" s="337" t="s">
        <v>177</v>
      </c>
      <c r="H16" s="337" t="s">
        <v>176</v>
      </c>
      <c r="I16" s="337" t="s">
        <v>91</v>
      </c>
      <c r="J16" s="337" t="s">
        <v>92</v>
      </c>
      <c r="K16" s="337" t="s">
        <v>93</v>
      </c>
      <c r="L16" s="337" t="s">
        <v>94</v>
      </c>
      <c r="M16" s="337" t="s">
        <v>95</v>
      </c>
      <c r="N16" s="337" t="s">
        <v>96</v>
      </c>
      <c r="O16" s="337" t="s">
        <v>97</v>
      </c>
      <c r="P16" s="48"/>
      <c r="S16" s="10">
        <v>25400</v>
      </c>
      <c r="T16" s="156" t="s">
        <v>9</v>
      </c>
      <c r="U16" s="348">
        <f>J6+J18</f>
        <v>660.5</v>
      </c>
      <c r="V16" s="358">
        <f t="shared" si="1"/>
        <v>18.780210406596531</v>
      </c>
    </row>
    <row r="17" spans="1:22" x14ac:dyDescent="0.2">
      <c r="A17" s="104" t="s">
        <v>36</v>
      </c>
      <c r="B17" s="88">
        <v>25100</v>
      </c>
      <c r="C17" s="88">
        <v>25150</v>
      </c>
      <c r="D17" s="88">
        <v>25200</v>
      </c>
      <c r="E17" s="267">
        <v>25220</v>
      </c>
      <c r="F17" s="267">
        <v>25230</v>
      </c>
      <c r="G17" s="88">
        <v>25300</v>
      </c>
      <c r="H17" s="88">
        <v>25350</v>
      </c>
      <c r="I17" s="88">
        <v>25351</v>
      </c>
      <c r="J17" s="88">
        <v>25400</v>
      </c>
      <c r="K17" s="88">
        <v>25500</v>
      </c>
      <c r="L17" s="88">
        <v>25600</v>
      </c>
      <c r="M17" s="88">
        <v>25700</v>
      </c>
      <c r="N17" s="88">
        <v>25800</v>
      </c>
      <c r="O17" s="88">
        <v>25810</v>
      </c>
      <c r="P17" s="105" t="s">
        <v>17</v>
      </c>
      <c r="S17" s="10">
        <v>25500</v>
      </c>
      <c r="T17" s="156" t="s">
        <v>10</v>
      </c>
      <c r="U17" s="348">
        <f>K6+K18</f>
        <v>260.5</v>
      </c>
      <c r="V17" s="358">
        <f t="shared" si="1"/>
        <v>7.4068808643730453</v>
      </c>
    </row>
    <row r="18" spans="1:22" x14ac:dyDescent="0.2">
      <c r="A18" s="106" t="s">
        <v>175</v>
      </c>
      <c r="B18" s="335">
        <f>'[2]Počty studentů 2022'!$B$6</f>
        <v>219</v>
      </c>
      <c r="C18" s="335">
        <f>'[2]Počty studentů 2022'!$C$6</f>
        <v>191</v>
      </c>
      <c r="D18" s="335">
        <f>'[2]Počty studentů 2022'!$D$6</f>
        <v>133.5</v>
      </c>
      <c r="E18" s="336">
        <f>'[2]Počty studentů 2022'!$E$6</f>
        <v>71</v>
      </c>
      <c r="F18" s="336">
        <f>'[2]Počty studentů 2022'!$F$6</f>
        <v>62.5</v>
      </c>
      <c r="G18" s="335">
        <f>'[2]Počty studentů 2022'!$G$6</f>
        <v>107.75</v>
      </c>
      <c r="H18" s="335">
        <f>'[2]Počty studentů 2022'!$H$6</f>
        <v>72.75</v>
      </c>
      <c r="I18" s="335">
        <f>'[2]Počty studentů 2022'!$I$6</f>
        <v>77</v>
      </c>
      <c r="J18" s="335">
        <f>'[2]Počty studentů 2022'!$J$6</f>
        <v>331</v>
      </c>
      <c r="K18" s="335">
        <f>'[2]Počty studentů 2022'!$K$6</f>
        <v>133</v>
      </c>
      <c r="L18" s="335">
        <f>'[2]Počty studentů 2022'!$L$6</f>
        <v>104</v>
      </c>
      <c r="M18" s="335">
        <f>'[2]Počty studentů 2022'!$M$6</f>
        <v>220</v>
      </c>
      <c r="N18" s="335">
        <f>'[2]Počty studentů 2022'!$N$6</f>
        <v>204</v>
      </c>
      <c r="O18" s="335">
        <f>'[2]Počty studentů 2022'!$O$6</f>
        <v>6.5</v>
      </c>
      <c r="P18" s="208">
        <f>SUM(B18:O18)-E18-F18</f>
        <v>1799.5</v>
      </c>
      <c r="S18" s="10">
        <v>25600</v>
      </c>
      <c r="T18" s="156" t="s">
        <v>11</v>
      </c>
      <c r="U18" s="348">
        <f>L6+L18</f>
        <v>236</v>
      </c>
      <c r="V18" s="358">
        <f t="shared" si="1"/>
        <v>6.7102644299118568</v>
      </c>
    </row>
    <row r="19" spans="1:22" x14ac:dyDescent="0.2">
      <c r="A19" s="106" t="s">
        <v>18</v>
      </c>
      <c r="B19" s="109">
        <f t="shared" ref="B19:O19" si="2">(B18*100)/$P$18</f>
        <v>12.170047235343151</v>
      </c>
      <c r="C19" s="109">
        <f t="shared" si="2"/>
        <v>10.614059460961379</v>
      </c>
      <c r="D19" s="109">
        <f t="shared" si="2"/>
        <v>7.4187274242845236</v>
      </c>
      <c r="E19" s="301">
        <f t="shared" si="2"/>
        <v>3.9455404278966379</v>
      </c>
      <c r="F19" s="301">
        <f t="shared" si="2"/>
        <v>3.4731869963878856</v>
      </c>
      <c r="G19" s="109">
        <f t="shared" si="2"/>
        <v>5.9877743817727147</v>
      </c>
      <c r="H19" s="109">
        <f t="shared" si="2"/>
        <v>4.0427896637954985</v>
      </c>
      <c r="I19" s="109">
        <f t="shared" si="2"/>
        <v>4.2789663795498747</v>
      </c>
      <c r="J19" s="109">
        <f t="shared" si="2"/>
        <v>18.393998332870243</v>
      </c>
      <c r="K19" s="109">
        <f t="shared" si="2"/>
        <v>7.3909419283134206</v>
      </c>
      <c r="L19" s="109">
        <f t="shared" si="2"/>
        <v>5.7793831619894416</v>
      </c>
      <c r="M19" s="109">
        <f t="shared" si="2"/>
        <v>12.225618227285358</v>
      </c>
      <c r="N19" s="109">
        <f t="shared" si="2"/>
        <v>11.336482356210059</v>
      </c>
      <c r="O19" s="109">
        <f t="shared" si="2"/>
        <v>0.3612114476243401</v>
      </c>
      <c r="P19" s="208">
        <f>SUM(B19:O19)-E19-F19</f>
        <v>100.00000000000001</v>
      </c>
      <c r="S19" s="10">
        <v>25610</v>
      </c>
      <c r="T19" s="156" t="s">
        <v>12</v>
      </c>
      <c r="U19" s="350">
        <v>0</v>
      </c>
      <c r="V19" s="358">
        <f t="shared" si="1"/>
        <v>0</v>
      </c>
    </row>
    <row r="20" spans="1:22" x14ac:dyDescent="0.2">
      <c r="S20" s="10">
        <v>25700</v>
      </c>
      <c r="T20" s="156" t="s">
        <v>13</v>
      </c>
      <c r="U20" s="348">
        <f>M6+M18</f>
        <v>422</v>
      </c>
      <c r="V20" s="358">
        <f t="shared" si="1"/>
        <v>11.998862667045778</v>
      </c>
    </row>
    <row r="21" spans="1:22" x14ac:dyDescent="0.2">
      <c r="A21" s="49" t="s">
        <v>174</v>
      </c>
      <c r="B21" s="982" t="s">
        <v>173</v>
      </c>
      <c r="C21" s="49"/>
      <c r="S21" s="10">
        <v>25800</v>
      </c>
      <c r="T21" s="156" t="s">
        <v>14</v>
      </c>
      <c r="U21" s="348">
        <f>N6+N18</f>
        <v>393</v>
      </c>
      <c r="V21" s="358">
        <f t="shared" si="1"/>
        <v>11.174296275234575</v>
      </c>
    </row>
    <row r="22" spans="1:22" x14ac:dyDescent="0.2">
      <c r="A22" s="49"/>
      <c r="B22" s="982" t="s">
        <v>338</v>
      </c>
      <c r="C22" s="49"/>
      <c r="S22" s="10">
        <v>25810</v>
      </c>
      <c r="T22" s="156" t="s">
        <v>15</v>
      </c>
      <c r="U22" s="348">
        <f>O6+O18</f>
        <v>13</v>
      </c>
      <c r="V22" s="358">
        <f t="shared" si="1"/>
        <v>0.3696332101222633</v>
      </c>
    </row>
    <row r="23" spans="1:22" x14ac:dyDescent="0.2">
      <c r="A23" s="49"/>
      <c r="B23" s="982" t="s">
        <v>339</v>
      </c>
      <c r="C23" s="49"/>
      <c r="S23" s="43">
        <v>25820</v>
      </c>
      <c r="T23" s="347" t="s">
        <v>16</v>
      </c>
      <c r="U23" s="355">
        <v>0</v>
      </c>
      <c r="V23" s="358">
        <f t="shared" si="1"/>
        <v>0</v>
      </c>
    </row>
    <row r="24" spans="1:22" ht="13.5" thickBot="1" x14ac:dyDescent="0.25">
      <c r="B24" s="982" t="s">
        <v>421</v>
      </c>
      <c r="S24" s="12">
        <v>25830</v>
      </c>
      <c r="T24" s="294" t="s">
        <v>66</v>
      </c>
      <c r="U24" s="360">
        <v>0</v>
      </c>
      <c r="V24" s="362">
        <f t="shared" si="1"/>
        <v>0</v>
      </c>
    </row>
    <row r="25" spans="1:22" ht="14.25" thickTop="1" thickBot="1" x14ac:dyDescent="0.25">
      <c r="B25" s="983" t="s">
        <v>337</v>
      </c>
      <c r="S25" s="13">
        <v>25000</v>
      </c>
      <c r="T25" s="158" t="s">
        <v>17</v>
      </c>
      <c r="U25" s="372">
        <f>SUM(U7:U24)-U10-U11</f>
        <v>3517</v>
      </c>
      <c r="V25" s="374">
        <f t="shared" si="1"/>
        <v>100</v>
      </c>
    </row>
    <row r="26" spans="1:22" x14ac:dyDescent="0.2">
      <c r="S26" s="48"/>
      <c r="T26" s="48"/>
      <c r="U26" s="346">
        <f>P6+P18</f>
        <v>3517</v>
      </c>
      <c r="V26" s="49"/>
    </row>
  </sheetData>
  <mergeCells count="3">
    <mergeCell ref="U4:V4"/>
    <mergeCell ref="S5:S6"/>
    <mergeCell ref="T5:T6"/>
  </mergeCells>
  <pageMargins left="0.7" right="0.7" top="0.75" bottom="0.75" header="0.3" footer="0.3"/>
  <pageSetup paperSize="9" scale="76" orientation="landscape" r:id="rId1"/>
  <headerFooter>
    <oddFooter>&amp;C&amp;8&amp;A&amp;R&amp;8&amp;F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K102"/>
  <sheetViews>
    <sheetView zoomScaleNormal="100" workbookViewId="0"/>
  </sheetViews>
  <sheetFormatPr defaultColWidth="8.85546875" defaultRowHeight="12.75" x14ac:dyDescent="0.2"/>
  <cols>
    <col min="1" max="1" width="10.28515625" style="15" customWidth="1"/>
    <col min="2" max="2" width="40.42578125" style="15" customWidth="1"/>
    <col min="3" max="5" width="8.85546875" style="15"/>
    <col min="6" max="6" width="11" style="15" customWidth="1"/>
    <col min="7" max="8" width="10.28515625" style="15" customWidth="1"/>
    <col min="9" max="9" width="10.5703125" style="15" customWidth="1"/>
    <col min="10" max="10" width="10.85546875" style="15" customWidth="1"/>
    <col min="11" max="11" width="5.7109375" style="15" customWidth="1"/>
    <col min="12" max="16384" width="8.85546875" style="15"/>
  </cols>
  <sheetData>
    <row r="1" spans="1:11" ht="15" x14ac:dyDescent="0.25">
      <c r="A1" s="100" t="s">
        <v>431</v>
      </c>
    </row>
    <row r="2" spans="1:11" ht="15" x14ac:dyDescent="0.25">
      <c r="A2" s="100"/>
    </row>
    <row r="3" spans="1:11" ht="15" x14ac:dyDescent="0.25">
      <c r="A3" s="100" t="s">
        <v>432</v>
      </c>
    </row>
    <row r="4" spans="1:11" x14ac:dyDescent="0.2">
      <c r="A4" s="1428" t="s">
        <v>0</v>
      </c>
      <c r="B4" s="1430" t="s">
        <v>1</v>
      </c>
      <c r="C4" s="1433" t="s">
        <v>197</v>
      </c>
      <c r="D4" s="1434"/>
      <c r="E4" s="1434"/>
      <c r="F4" s="1434"/>
      <c r="G4" s="1434"/>
      <c r="H4" s="1434"/>
      <c r="I4" s="1434"/>
      <c r="J4" s="1435"/>
      <c r="K4" s="382"/>
    </row>
    <row r="5" spans="1:11" x14ac:dyDescent="0.2">
      <c r="A5" s="1428"/>
      <c r="B5" s="1430"/>
      <c r="C5" s="98">
        <v>1182</v>
      </c>
      <c r="D5" s="98" t="s">
        <v>198</v>
      </c>
      <c r="E5" s="98">
        <v>1220</v>
      </c>
      <c r="F5" s="98">
        <v>1230</v>
      </c>
      <c r="G5" s="98">
        <v>1310</v>
      </c>
      <c r="H5" s="98">
        <v>1390</v>
      </c>
      <c r="I5" s="98">
        <v>1680</v>
      </c>
      <c r="J5" s="380" t="s">
        <v>17</v>
      </c>
      <c r="K5" s="383" t="s">
        <v>156</v>
      </c>
    </row>
    <row r="6" spans="1:11" ht="13.5" thickBot="1" x14ac:dyDescent="0.25">
      <c r="A6" s="1429"/>
      <c r="B6" s="1412"/>
      <c r="C6" s="206" t="s">
        <v>199</v>
      </c>
      <c r="D6" s="206" t="s">
        <v>203</v>
      </c>
      <c r="E6" s="206" t="s">
        <v>200</v>
      </c>
      <c r="F6" s="206" t="s">
        <v>312</v>
      </c>
      <c r="G6" s="206" t="s">
        <v>201</v>
      </c>
      <c r="H6" s="206" t="s">
        <v>341</v>
      </c>
      <c r="I6" s="206" t="s">
        <v>202</v>
      </c>
      <c r="J6" s="381" t="s">
        <v>105</v>
      </c>
      <c r="K6" s="381" t="s">
        <v>18</v>
      </c>
    </row>
    <row r="7" spans="1:11" ht="13.5" thickTop="1" x14ac:dyDescent="0.2">
      <c r="A7" s="95">
        <v>25100</v>
      </c>
      <c r="B7" s="155" t="s">
        <v>2</v>
      </c>
      <c r="C7" s="388">
        <f t="shared" ref="C7:I7" si="0">C32+C57+C82</f>
        <v>0</v>
      </c>
      <c r="D7" s="388">
        <f t="shared" si="0"/>
        <v>0</v>
      </c>
      <c r="E7" s="388">
        <f t="shared" si="0"/>
        <v>0</v>
      </c>
      <c r="F7" s="388">
        <f t="shared" si="0"/>
        <v>1289282</v>
      </c>
      <c r="G7" s="388">
        <f t="shared" si="0"/>
        <v>0</v>
      </c>
      <c r="H7" s="388">
        <f>H32+H57+H82</f>
        <v>0</v>
      </c>
      <c r="I7" s="388">
        <f t="shared" si="0"/>
        <v>561000</v>
      </c>
      <c r="J7" s="389">
        <f>SUM(C7:I7)</f>
        <v>1850282</v>
      </c>
      <c r="K7" s="385">
        <f>J7*100/$J$25</f>
        <v>5.5454046376895834</v>
      </c>
    </row>
    <row r="8" spans="1:11" x14ac:dyDescent="0.2">
      <c r="A8" s="96">
        <v>25150</v>
      </c>
      <c r="B8" s="156" t="s">
        <v>3</v>
      </c>
      <c r="C8" s="388">
        <f t="shared" ref="C8:I24" si="1">C33+C58+C83</f>
        <v>0</v>
      </c>
      <c r="D8" s="388">
        <f t="shared" si="1"/>
        <v>0</v>
      </c>
      <c r="E8" s="388">
        <f t="shared" si="1"/>
        <v>0</v>
      </c>
      <c r="F8" s="388">
        <f t="shared" si="1"/>
        <v>0</v>
      </c>
      <c r="G8" s="388">
        <f t="shared" si="1"/>
        <v>0</v>
      </c>
      <c r="H8" s="388">
        <f t="shared" si="1"/>
        <v>886250.26</v>
      </c>
      <c r="I8" s="388">
        <f t="shared" si="1"/>
        <v>0</v>
      </c>
      <c r="J8" s="390">
        <f>SUM(C8:I8)</f>
        <v>886250.26</v>
      </c>
      <c r="K8" s="386">
        <f t="shared" ref="K8:K24" si="2">J8*100/$J$25</f>
        <v>2.656144469847082</v>
      </c>
    </row>
    <row r="9" spans="1:11" x14ac:dyDescent="0.2">
      <c r="A9" s="96">
        <v>25200</v>
      </c>
      <c r="B9" s="156" t="s">
        <v>4</v>
      </c>
      <c r="C9" s="388">
        <f t="shared" si="1"/>
        <v>0</v>
      </c>
      <c r="D9" s="388">
        <f t="shared" si="1"/>
        <v>0</v>
      </c>
      <c r="E9" s="388">
        <f t="shared" si="1"/>
        <v>0</v>
      </c>
      <c r="F9" s="388">
        <f t="shared" si="1"/>
        <v>0</v>
      </c>
      <c r="G9" s="388">
        <f t="shared" si="1"/>
        <v>2208181.1800000002</v>
      </c>
      <c r="H9" s="388">
        <f t="shared" si="1"/>
        <v>0</v>
      </c>
      <c r="I9" s="388">
        <f t="shared" si="1"/>
        <v>0</v>
      </c>
      <c r="J9" s="390">
        <f t="shared" ref="J9:J24" si="3">SUM(C9:I9)</f>
        <v>2208181.1800000002</v>
      </c>
      <c r="K9" s="386">
        <f t="shared" si="2"/>
        <v>6.618049657528343</v>
      </c>
    </row>
    <row r="10" spans="1:11" s="403" customFormat="1" hidden="1" x14ac:dyDescent="0.2">
      <c r="A10" s="220"/>
      <c r="B10" s="217" t="s">
        <v>117</v>
      </c>
      <c r="C10" s="401">
        <f t="shared" si="1"/>
        <v>0</v>
      </c>
      <c r="D10" s="401">
        <f t="shared" si="1"/>
        <v>0</v>
      </c>
      <c r="E10" s="401">
        <f t="shared" si="1"/>
        <v>0</v>
      </c>
      <c r="F10" s="401">
        <f t="shared" si="1"/>
        <v>0</v>
      </c>
      <c r="G10" s="401">
        <f t="shared" si="1"/>
        <v>0</v>
      </c>
      <c r="H10" s="401">
        <f t="shared" si="1"/>
        <v>0</v>
      </c>
      <c r="I10" s="401">
        <f t="shared" si="1"/>
        <v>0</v>
      </c>
      <c r="J10" s="264">
        <f t="shared" si="3"/>
        <v>0</v>
      </c>
      <c r="K10" s="402">
        <f t="shared" si="2"/>
        <v>0</v>
      </c>
    </row>
    <row r="11" spans="1:11" s="403" customFormat="1" hidden="1" x14ac:dyDescent="0.2">
      <c r="A11" s="220"/>
      <c r="B11" s="217" t="s">
        <v>118</v>
      </c>
      <c r="C11" s="401">
        <f t="shared" si="1"/>
        <v>0</v>
      </c>
      <c r="D11" s="401">
        <f t="shared" si="1"/>
        <v>0</v>
      </c>
      <c r="E11" s="401">
        <f t="shared" si="1"/>
        <v>0</v>
      </c>
      <c r="F11" s="401">
        <f t="shared" si="1"/>
        <v>0</v>
      </c>
      <c r="G11" s="401">
        <f t="shared" si="1"/>
        <v>2208181.1800000002</v>
      </c>
      <c r="H11" s="401">
        <f t="shared" si="1"/>
        <v>0</v>
      </c>
      <c r="I11" s="401">
        <f t="shared" si="1"/>
        <v>0</v>
      </c>
      <c r="J11" s="264">
        <f t="shared" si="3"/>
        <v>2208181.1800000002</v>
      </c>
      <c r="K11" s="402">
        <f t="shared" si="2"/>
        <v>6.618049657528343</v>
      </c>
    </row>
    <row r="12" spans="1:11" x14ac:dyDescent="0.2">
      <c r="A12" s="96">
        <v>25300</v>
      </c>
      <c r="B12" s="156" t="s">
        <v>5</v>
      </c>
      <c r="C12" s="388">
        <f t="shared" si="1"/>
        <v>0</v>
      </c>
      <c r="D12" s="388">
        <f t="shared" si="1"/>
        <v>0</v>
      </c>
      <c r="E12" s="388">
        <f t="shared" si="1"/>
        <v>0</v>
      </c>
      <c r="F12" s="388">
        <f t="shared" si="1"/>
        <v>0</v>
      </c>
      <c r="G12" s="388">
        <f t="shared" si="1"/>
        <v>0</v>
      </c>
      <c r="H12" s="388">
        <f t="shared" si="1"/>
        <v>0</v>
      </c>
      <c r="I12" s="388">
        <f t="shared" si="1"/>
        <v>1581000</v>
      </c>
      <c r="J12" s="390">
        <f t="shared" si="3"/>
        <v>1581000</v>
      </c>
      <c r="K12" s="386">
        <f t="shared" si="2"/>
        <v>4.7383505499092733</v>
      </c>
    </row>
    <row r="13" spans="1:11" x14ac:dyDescent="0.2">
      <c r="A13" s="96">
        <v>25350</v>
      </c>
      <c r="B13" s="156" t="s">
        <v>6</v>
      </c>
      <c r="C13" s="388">
        <f t="shared" si="1"/>
        <v>0</v>
      </c>
      <c r="D13" s="388">
        <f t="shared" si="1"/>
        <v>0</v>
      </c>
      <c r="E13" s="388">
        <f t="shared" si="1"/>
        <v>0</v>
      </c>
      <c r="F13" s="388">
        <f t="shared" si="1"/>
        <v>9320246.3300000001</v>
      </c>
      <c r="G13" s="388">
        <f t="shared" si="1"/>
        <v>0</v>
      </c>
      <c r="H13" s="388">
        <f t="shared" si="1"/>
        <v>0</v>
      </c>
      <c r="I13" s="388">
        <f t="shared" si="1"/>
        <v>350000</v>
      </c>
      <c r="J13" s="390">
        <f t="shared" si="3"/>
        <v>9670246.3300000001</v>
      </c>
      <c r="K13" s="386">
        <f t="shared" si="2"/>
        <v>28.982300452570293</v>
      </c>
    </row>
    <row r="14" spans="1:11" x14ac:dyDescent="0.2">
      <c r="A14" s="96">
        <v>25351</v>
      </c>
      <c r="B14" s="156" t="s">
        <v>7</v>
      </c>
      <c r="C14" s="388">
        <f t="shared" si="1"/>
        <v>0</v>
      </c>
      <c r="D14" s="388">
        <f t="shared" si="1"/>
        <v>0</v>
      </c>
      <c r="E14" s="388">
        <f t="shared" si="1"/>
        <v>0</v>
      </c>
      <c r="F14" s="388">
        <f t="shared" si="1"/>
        <v>0</v>
      </c>
      <c r="G14" s="388">
        <f t="shared" si="1"/>
        <v>0</v>
      </c>
      <c r="H14" s="388">
        <f t="shared" si="1"/>
        <v>0</v>
      </c>
      <c r="I14" s="388">
        <f t="shared" si="1"/>
        <v>1208000</v>
      </c>
      <c r="J14" s="390">
        <f t="shared" si="3"/>
        <v>1208000</v>
      </c>
      <c r="K14" s="386">
        <f t="shared" si="2"/>
        <v>3.6204474789945622</v>
      </c>
    </row>
    <row r="15" spans="1:11" x14ac:dyDescent="0.2">
      <c r="A15" s="96">
        <v>25352</v>
      </c>
      <c r="B15" s="156" t="s">
        <v>8</v>
      </c>
      <c r="C15" s="388">
        <f t="shared" si="1"/>
        <v>0</v>
      </c>
      <c r="D15" s="388">
        <f t="shared" si="1"/>
        <v>0</v>
      </c>
      <c r="E15" s="388">
        <f t="shared" si="1"/>
        <v>0</v>
      </c>
      <c r="F15" s="388">
        <f t="shared" si="1"/>
        <v>0</v>
      </c>
      <c r="G15" s="388">
        <f t="shared" si="1"/>
        <v>241727.31</v>
      </c>
      <c r="H15" s="388">
        <f t="shared" si="1"/>
        <v>0</v>
      </c>
      <c r="I15" s="388">
        <f t="shared" si="1"/>
        <v>0</v>
      </c>
      <c r="J15" s="390">
        <f t="shared" si="3"/>
        <v>241727.31</v>
      </c>
      <c r="K15" s="386">
        <f t="shared" si="2"/>
        <v>0.7244710514020174</v>
      </c>
    </row>
    <row r="16" spans="1:11" x14ac:dyDescent="0.2">
      <c r="A16" s="96">
        <v>25400</v>
      </c>
      <c r="B16" s="156" t="s">
        <v>9</v>
      </c>
      <c r="C16" s="388">
        <f t="shared" si="1"/>
        <v>0</v>
      </c>
      <c r="D16" s="388">
        <f t="shared" si="1"/>
        <v>0</v>
      </c>
      <c r="E16" s="388">
        <f t="shared" si="1"/>
        <v>0</v>
      </c>
      <c r="F16" s="388">
        <f t="shared" si="1"/>
        <v>0</v>
      </c>
      <c r="G16" s="388">
        <f t="shared" si="1"/>
        <v>0</v>
      </c>
      <c r="H16" s="388">
        <f t="shared" si="1"/>
        <v>0</v>
      </c>
      <c r="I16" s="388">
        <f t="shared" si="1"/>
        <v>1090000</v>
      </c>
      <c r="J16" s="390">
        <f t="shared" si="3"/>
        <v>1090000</v>
      </c>
      <c r="K16" s="386">
        <f t="shared" si="2"/>
        <v>3.2667944967748945</v>
      </c>
    </row>
    <row r="17" spans="1:11" x14ac:dyDescent="0.2">
      <c r="A17" s="96">
        <v>25500</v>
      </c>
      <c r="B17" s="156" t="s">
        <v>10</v>
      </c>
      <c r="C17" s="388">
        <f t="shared" si="1"/>
        <v>0</v>
      </c>
      <c r="D17" s="388">
        <f t="shared" si="1"/>
        <v>0</v>
      </c>
      <c r="E17" s="388">
        <f t="shared" si="1"/>
        <v>33000</v>
      </c>
      <c r="F17" s="388">
        <f t="shared" si="1"/>
        <v>0</v>
      </c>
      <c r="G17" s="388">
        <f t="shared" si="1"/>
        <v>0</v>
      </c>
      <c r="H17" s="388">
        <f t="shared" si="1"/>
        <v>0</v>
      </c>
      <c r="I17" s="388">
        <f t="shared" si="1"/>
        <v>1502749.5</v>
      </c>
      <c r="J17" s="390">
        <f t="shared" si="3"/>
        <v>1535749.5</v>
      </c>
      <c r="K17" s="386">
        <f t="shared" si="2"/>
        <v>4.6027321238759598</v>
      </c>
    </row>
    <row r="18" spans="1:11" x14ac:dyDescent="0.2">
      <c r="A18" s="96">
        <v>25600</v>
      </c>
      <c r="B18" s="156" t="s">
        <v>11</v>
      </c>
      <c r="C18" s="388">
        <f t="shared" si="1"/>
        <v>25164</v>
      </c>
      <c r="D18" s="388">
        <f t="shared" si="1"/>
        <v>0</v>
      </c>
      <c r="E18" s="388">
        <f t="shared" si="1"/>
        <v>0</v>
      </c>
      <c r="F18" s="388">
        <f t="shared" si="1"/>
        <v>0</v>
      </c>
      <c r="G18" s="388">
        <f t="shared" si="1"/>
        <v>0</v>
      </c>
      <c r="H18" s="388">
        <f t="shared" si="1"/>
        <v>0</v>
      </c>
      <c r="I18" s="388">
        <f t="shared" si="1"/>
        <v>594000</v>
      </c>
      <c r="J18" s="390">
        <f t="shared" si="3"/>
        <v>619164</v>
      </c>
      <c r="K18" s="386">
        <f t="shared" si="2"/>
        <v>1.8556711447716796</v>
      </c>
    </row>
    <row r="19" spans="1:11" x14ac:dyDescent="0.2">
      <c r="A19" s="96">
        <v>25610</v>
      </c>
      <c r="B19" s="156" t="s">
        <v>12</v>
      </c>
      <c r="C19" s="388">
        <f t="shared" si="1"/>
        <v>0</v>
      </c>
      <c r="D19" s="388">
        <f t="shared" si="1"/>
        <v>0</v>
      </c>
      <c r="E19" s="388">
        <f t="shared" si="1"/>
        <v>0</v>
      </c>
      <c r="F19" s="388">
        <f t="shared" si="1"/>
        <v>0</v>
      </c>
      <c r="G19" s="388">
        <f t="shared" si="1"/>
        <v>0</v>
      </c>
      <c r="H19" s="388">
        <f t="shared" si="1"/>
        <v>0</v>
      </c>
      <c r="I19" s="388">
        <f t="shared" si="1"/>
        <v>0</v>
      </c>
      <c r="J19" s="390">
        <f t="shared" si="3"/>
        <v>0</v>
      </c>
      <c r="K19" s="386">
        <f t="shared" si="2"/>
        <v>0</v>
      </c>
    </row>
    <row r="20" spans="1:11" x14ac:dyDescent="0.2">
      <c r="A20" s="96">
        <v>25700</v>
      </c>
      <c r="B20" s="156" t="s">
        <v>13</v>
      </c>
      <c r="C20" s="388">
        <f t="shared" si="1"/>
        <v>0</v>
      </c>
      <c r="D20" s="388">
        <f t="shared" si="1"/>
        <v>0</v>
      </c>
      <c r="E20" s="388">
        <f t="shared" si="1"/>
        <v>0</v>
      </c>
      <c r="F20" s="388">
        <f t="shared" si="1"/>
        <v>3293346</v>
      </c>
      <c r="G20" s="388">
        <f t="shared" si="1"/>
        <v>0</v>
      </c>
      <c r="H20" s="388">
        <f t="shared" si="1"/>
        <v>0</v>
      </c>
      <c r="I20" s="388">
        <f t="shared" si="1"/>
        <v>0</v>
      </c>
      <c r="J20" s="390">
        <f t="shared" si="3"/>
        <v>3293346</v>
      </c>
      <c r="K20" s="386">
        <f t="shared" si="2"/>
        <v>9.8703528337390942</v>
      </c>
    </row>
    <row r="21" spans="1:11" x14ac:dyDescent="0.2">
      <c r="A21" s="96">
        <v>25800</v>
      </c>
      <c r="B21" s="156" t="s">
        <v>14</v>
      </c>
      <c r="C21" s="388">
        <f t="shared" si="1"/>
        <v>0</v>
      </c>
      <c r="D21" s="388">
        <f t="shared" si="1"/>
        <v>0</v>
      </c>
      <c r="E21" s="388">
        <f t="shared" si="1"/>
        <v>0</v>
      </c>
      <c r="F21" s="388">
        <f t="shared" si="1"/>
        <v>0</v>
      </c>
      <c r="G21" s="388">
        <f t="shared" si="1"/>
        <v>0</v>
      </c>
      <c r="H21" s="388">
        <f t="shared" si="1"/>
        <v>0</v>
      </c>
      <c r="I21" s="388">
        <f t="shared" si="1"/>
        <v>4506046.3900000006</v>
      </c>
      <c r="J21" s="390">
        <f t="shared" si="3"/>
        <v>4506046.3900000006</v>
      </c>
      <c r="K21" s="386">
        <f t="shared" si="2"/>
        <v>13.504887659692093</v>
      </c>
    </row>
    <row r="22" spans="1:11" x14ac:dyDescent="0.2">
      <c r="A22" s="96">
        <v>25810</v>
      </c>
      <c r="B22" s="156" t="s">
        <v>15</v>
      </c>
      <c r="C22" s="388">
        <f t="shared" si="1"/>
        <v>0</v>
      </c>
      <c r="D22" s="388">
        <f t="shared" si="1"/>
        <v>0</v>
      </c>
      <c r="E22" s="388">
        <f t="shared" si="1"/>
        <v>0</v>
      </c>
      <c r="F22" s="388">
        <f t="shared" si="1"/>
        <v>0</v>
      </c>
      <c r="G22" s="388">
        <f t="shared" si="1"/>
        <v>0</v>
      </c>
      <c r="H22" s="388">
        <f t="shared" si="1"/>
        <v>0</v>
      </c>
      <c r="I22" s="388">
        <f t="shared" si="1"/>
        <v>0</v>
      </c>
      <c r="J22" s="390">
        <f t="shared" si="3"/>
        <v>0</v>
      </c>
      <c r="K22" s="386">
        <f t="shared" si="2"/>
        <v>0</v>
      </c>
    </row>
    <row r="23" spans="1:11" x14ac:dyDescent="0.2">
      <c r="A23" s="96">
        <v>25820</v>
      </c>
      <c r="B23" s="156" t="s">
        <v>16</v>
      </c>
      <c r="C23" s="388">
        <f t="shared" si="1"/>
        <v>0</v>
      </c>
      <c r="D23" s="388">
        <f t="shared" si="1"/>
        <v>106737.61</v>
      </c>
      <c r="E23" s="388">
        <f t="shared" si="1"/>
        <v>0</v>
      </c>
      <c r="F23" s="388">
        <f t="shared" si="1"/>
        <v>3045000</v>
      </c>
      <c r="G23" s="388">
        <f t="shared" si="1"/>
        <v>0</v>
      </c>
      <c r="H23" s="388">
        <f t="shared" si="1"/>
        <v>0</v>
      </c>
      <c r="I23" s="388">
        <f t="shared" si="1"/>
        <v>523000</v>
      </c>
      <c r="J23" s="390">
        <f t="shared" si="3"/>
        <v>3674737.61</v>
      </c>
      <c r="K23" s="386">
        <f t="shared" si="2"/>
        <v>11.013406056366724</v>
      </c>
    </row>
    <row r="24" spans="1:11" ht="13.5" thickBot="1" x14ac:dyDescent="0.25">
      <c r="A24" s="97">
        <v>25830</v>
      </c>
      <c r="B24" s="294" t="s">
        <v>66</v>
      </c>
      <c r="C24" s="391">
        <f t="shared" si="1"/>
        <v>0</v>
      </c>
      <c r="D24" s="391">
        <f t="shared" si="1"/>
        <v>0</v>
      </c>
      <c r="E24" s="391">
        <f t="shared" si="1"/>
        <v>0</v>
      </c>
      <c r="F24" s="391">
        <f t="shared" si="1"/>
        <v>0</v>
      </c>
      <c r="G24" s="391">
        <f t="shared" si="1"/>
        <v>0</v>
      </c>
      <c r="H24" s="388">
        <f t="shared" si="1"/>
        <v>0</v>
      </c>
      <c r="I24" s="391">
        <f t="shared" si="1"/>
        <v>1001310.69</v>
      </c>
      <c r="J24" s="392">
        <f t="shared" si="3"/>
        <v>1001310.69</v>
      </c>
      <c r="K24" s="387">
        <f t="shared" si="2"/>
        <v>3.0009873868384149</v>
      </c>
    </row>
    <row r="25" spans="1:11" ht="13.5" thickTop="1" x14ac:dyDescent="0.2">
      <c r="A25" s="98">
        <v>25000</v>
      </c>
      <c r="B25" s="160" t="s">
        <v>17</v>
      </c>
      <c r="C25" s="207">
        <f t="shared" ref="C25:K25" si="4">SUM(C7:C24)-C10-C11</f>
        <v>25164</v>
      </c>
      <c r="D25" s="207">
        <f t="shared" si="4"/>
        <v>106737.61</v>
      </c>
      <c r="E25" s="207">
        <f t="shared" si="4"/>
        <v>33000</v>
      </c>
      <c r="F25" s="207">
        <f t="shared" si="4"/>
        <v>16947874.329999998</v>
      </c>
      <c r="G25" s="207">
        <f t="shared" si="4"/>
        <v>2449908.4899999998</v>
      </c>
      <c r="H25" s="207">
        <f t="shared" si="4"/>
        <v>886250.26</v>
      </c>
      <c r="I25" s="207">
        <f t="shared" si="4"/>
        <v>12917106.58</v>
      </c>
      <c r="J25" s="207">
        <f t="shared" si="4"/>
        <v>33366041.269999996</v>
      </c>
      <c r="K25" s="384">
        <f t="shared" si="4"/>
        <v>100</v>
      </c>
    </row>
    <row r="26" spans="1:11" ht="15" x14ac:dyDescent="0.25">
      <c r="A26" s="100"/>
      <c r="J26" s="467">
        <f>J50+J75+J100</f>
        <v>33366041.27</v>
      </c>
    </row>
    <row r="27" spans="1:11" ht="15" x14ac:dyDescent="0.25">
      <c r="A27" s="100"/>
    </row>
    <row r="28" spans="1:11" ht="15" x14ac:dyDescent="0.25">
      <c r="A28" s="1404" t="s">
        <v>346</v>
      </c>
    </row>
    <row r="29" spans="1:11" ht="25.5" customHeight="1" x14ac:dyDescent="0.2">
      <c r="A29" s="1428" t="s">
        <v>0</v>
      </c>
      <c r="B29" s="1430" t="s">
        <v>1</v>
      </c>
      <c r="C29" s="1433" t="s">
        <v>197</v>
      </c>
      <c r="D29" s="1434"/>
      <c r="E29" s="1434"/>
      <c r="F29" s="1434"/>
      <c r="G29" s="1434"/>
      <c r="H29" s="1434"/>
      <c r="I29" s="1434"/>
      <c r="J29" s="1435"/>
    </row>
    <row r="30" spans="1:11" x14ac:dyDescent="0.2">
      <c r="A30" s="1428"/>
      <c r="B30" s="1430"/>
      <c r="C30" s="98">
        <v>1182</v>
      </c>
      <c r="D30" s="98" t="s">
        <v>198</v>
      </c>
      <c r="E30" s="98">
        <v>1220</v>
      </c>
      <c r="F30" s="98">
        <v>1230</v>
      </c>
      <c r="G30" s="98" t="s">
        <v>342</v>
      </c>
      <c r="H30" s="98">
        <v>1390</v>
      </c>
      <c r="I30" s="98">
        <v>1680</v>
      </c>
      <c r="J30" s="380" t="s">
        <v>17</v>
      </c>
    </row>
    <row r="31" spans="1:11" ht="13.5" thickBot="1" x14ac:dyDescent="0.25">
      <c r="A31" s="1429"/>
      <c r="B31" s="1412"/>
      <c r="C31" s="206" t="s">
        <v>199</v>
      </c>
      <c r="D31" s="206" t="s">
        <v>203</v>
      </c>
      <c r="E31" s="206" t="s">
        <v>200</v>
      </c>
      <c r="F31" s="206" t="s">
        <v>312</v>
      </c>
      <c r="G31" s="206" t="s">
        <v>201</v>
      </c>
      <c r="H31" s="206" t="s">
        <v>341</v>
      </c>
      <c r="I31" s="206" t="s">
        <v>202</v>
      </c>
      <c r="J31" s="381" t="s">
        <v>105</v>
      </c>
    </row>
    <row r="32" spans="1:11" ht="13.5" thickTop="1" x14ac:dyDescent="0.2">
      <c r="A32" s="95">
        <v>25100</v>
      </c>
      <c r="B32" s="155" t="s">
        <v>2</v>
      </c>
      <c r="C32" s="393"/>
      <c r="D32" s="393"/>
      <c r="E32" s="393"/>
      <c r="F32" s="393">
        <v>468357</v>
      </c>
      <c r="G32" s="393"/>
      <c r="H32" s="393"/>
      <c r="I32" s="393">
        <v>561000</v>
      </c>
      <c r="J32" s="394">
        <f>SUM(C32:I32)</f>
        <v>1029357</v>
      </c>
    </row>
    <row r="33" spans="1:10" x14ac:dyDescent="0.2">
      <c r="A33" s="96">
        <v>25150</v>
      </c>
      <c r="B33" s="156" t="s">
        <v>3</v>
      </c>
      <c r="C33" s="395"/>
      <c r="D33" s="395"/>
      <c r="E33" s="395"/>
      <c r="F33" s="395"/>
      <c r="G33" s="395"/>
      <c r="H33" s="395">
        <f>678353.53+6940.53</f>
        <v>685294.06</v>
      </c>
      <c r="I33" s="395"/>
      <c r="J33" s="396">
        <f>SUM(C33:I33)</f>
        <v>685294.06</v>
      </c>
    </row>
    <row r="34" spans="1:10" x14ac:dyDescent="0.2">
      <c r="A34" s="96">
        <v>25200</v>
      </c>
      <c r="B34" s="156" t="s">
        <v>4</v>
      </c>
      <c r="C34" s="395"/>
      <c r="D34" s="395"/>
      <c r="E34" s="395"/>
      <c r="F34" s="395"/>
      <c r="G34" s="395">
        <f>1115382.62+135482.55</f>
        <v>1250865.1700000002</v>
      </c>
      <c r="H34" s="395"/>
      <c r="I34" s="395"/>
      <c r="J34" s="396">
        <f t="shared" ref="J34:J49" si="5">SUM(C34:I34)</f>
        <v>1250865.1700000002</v>
      </c>
    </row>
    <row r="35" spans="1:10" s="400" customFormat="1" hidden="1" x14ac:dyDescent="0.2">
      <c r="A35" s="220"/>
      <c r="B35" s="217" t="s">
        <v>117</v>
      </c>
      <c r="C35" s="399"/>
      <c r="D35" s="399"/>
      <c r="E35" s="399"/>
      <c r="F35" s="399"/>
      <c r="G35" s="399"/>
      <c r="H35" s="399"/>
      <c r="I35" s="399"/>
      <c r="J35" s="399">
        <f t="shared" si="5"/>
        <v>0</v>
      </c>
    </row>
    <row r="36" spans="1:10" s="400" customFormat="1" hidden="1" x14ac:dyDescent="0.2">
      <c r="A36" s="220"/>
      <c r="B36" s="217" t="s">
        <v>118</v>
      </c>
      <c r="C36" s="399"/>
      <c r="D36" s="399"/>
      <c r="E36" s="399"/>
      <c r="F36" s="399"/>
      <c r="G36" s="399">
        <f>1115382.62+135482.55</f>
        <v>1250865.1700000002</v>
      </c>
      <c r="H36" s="399"/>
      <c r="I36" s="399"/>
      <c r="J36" s="399">
        <f t="shared" si="5"/>
        <v>1250865.1700000002</v>
      </c>
    </row>
    <row r="37" spans="1:10" x14ac:dyDescent="0.2">
      <c r="A37" s="96">
        <v>25300</v>
      </c>
      <c r="B37" s="156" t="s">
        <v>5</v>
      </c>
      <c r="C37" s="395"/>
      <c r="D37" s="395"/>
      <c r="E37" s="395"/>
      <c r="F37" s="395"/>
      <c r="G37" s="395"/>
      <c r="H37" s="395"/>
      <c r="I37" s="395">
        <f>1101000+480000</f>
        <v>1581000</v>
      </c>
      <c r="J37" s="396">
        <f t="shared" si="5"/>
        <v>1581000</v>
      </c>
    </row>
    <row r="38" spans="1:10" x14ac:dyDescent="0.2">
      <c r="A38" s="96">
        <v>25350</v>
      </c>
      <c r="B38" s="156" t="s">
        <v>6</v>
      </c>
      <c r="C38" s="395"/>
      <c r="D38" s="395"/>
      <c r="E38" s="395"/>
      <c r="F38" s="395">
        <v>2966246.33</v>
      </c>
      <c r="G38" s="395"/>
      <c r="H38" s="395"/>
      <c r="I38" s="395"/>
      <c r="J38" s="396">
        <f t="shared" si="5"/>
        <v>2966246.33</v>
      </c>
    </row>
    <row r="39" spans="1:10" x14ac:dyDescent="0.2">
      <c r="A39" s="96">
        <v>25351</v>
      </c>
      <c r="B39" s="156" t="s">
        <v>7</v>
      </c>
      <c r="C39" s="395"/>
      <c r="D39" s="395"/>
      <c r="E39" s="395"/>
      <c r="F39" s="395"/>
      <c r="G39" s="395"/>
      <c r="H39" s="395"/>
      <c r="I39" s="395"/>
      <c r="J39" s="396">
        <f t="shared" si="5"/>
        <v>0</v>
      </c>
    </row>
    <row r="40" spans="1:10" x14ac:dyDescent="0.2">
      <c r="A40" s="96">
        <v>25352</v>
      </c>
      <c r="B40" s="156" t="s">
        <v>8</v>
      </c>
      <c r="C40" s="395"/>
      <c r="D40" s="395"/>
      <c r="E40" s="395"/>
      <c r="F40" s="395"/>
      <c r="G40" s="395"/>
      <c r="H40" s="395"/>
      <c r="I40" s="395"/>
      <c r="J40" s="396">
        <f t="shared" si="5"/>
        <v>0</v>
      </c>
    </row>
    <row r="41" spans="1:10" x14ac:dyDescent="0.2">
      <c r="A41" s="96">
        <v>25400</v>
      </c>
      <c r="B41" s="156" t="s">
        <v>9</v>
      </c>
      <c r="C41" s="395"/>
      <c r="D41" s="395"/>
      <c r="E41" s="395"/>
      <c r="F41" s="395"/>
      <c r="G41" s="395"/>
      <c r="H41" s="395"/>
      <c r="I41" s="395">
        <v>1090000</v>
      </c>
      <c r="J41" s="396">
        <f t="shared" si="5"/>
        <v>1090000</v>
      </c>
    </row>
    <row r="42" spans="1:10" x14ac:dyDescent="0.2">
      <c r="A42" s="96">
        <v>25500</v>
      </c>
      <c r="B42" s="156" t="s">
        <v>10</v>
      </c>
      <c r="C42" s="395"/>
      <c r="D42" s="395"/>
      <c r="E42" s="395"/>
      <c r="F42" s="395"/>
      <c r="G42" s="395"/>
      <c r="H42" s="395"/>
      <c r="I42" s="395">
        <v>571000</v>
      </c>
      <c r="J42" s="396">
        <f t="shared" si="5"/>
        <v>571000</v>
      </c>
    </row>
    <row r="43" spans="1:10" x14ac:dyDescent="0.2">
      <c r="A43" s="96">
        <v>25600</v>
      </c>
      <c r="B43" s="156" t="s">
        <v>11</v>
      </c>
      <c r="C43" s="395">
        <f>12400+12764</f>
        <v>25164</v>
      </c>
      <c r="D43" s="395"/>
      <c r="E43" s="395"/>
      <c r="F43" s="395"/>
      <c r="G43" s="395"/>
      <c r="H43" s="395"/>
      <c r="I43" s="395"/>
      <c r="J43" s="396">
        <f t="shared" si="5"/>
        <v>25164</v>
      </c>
    </row>
    <row r="44" spans="1:10" x14ac:dyDescent="0.2">
      <c r="A44" s="96">
        <v>25610</v>
      </c>
      <c r="B44" s="156" t="s">
        <v>12</v>
      </c>
      <c r="C44" s="395"/>
      <c r="D44" s="395"/>
      <c r="E44" s="395"/>
      <c r="F44" s="395"/>
      <c r="G44" s="395"/>
      <c r="H44" s="395"/>
      <c r="I44" s="395"/>
      <c r="J44" s="396">
        <f t="shared" si="5"/>
        <v>0</v>
      </c>
    </row>
    <row r="45" spans="1:10" x14ac:dyDescent="0.2">
      <c r="A45" s="96">
        <v>25700</v>
      </c>
      <c r="B45" s="156" t="s">
        <v>13</v>
      </c>
      <c r="C45" s="395"/>
      <c r="D45" s="395"/>
      <c r="E45" s="395"/>
      <c r="F45" s="395">
        <v>1153184</v>
      </c>
      <c r="G45" s="395"/>
      <c r="H45" s="395"/>
      <c r="I45" s="395"/>
      <c r="J45" s="396">
        <f t="shared" si="5"/>
        <v>1153184</v>
      </c>
    </row>
    <row r="46" spans="1:10" x14ac:dyDescent="0.2">
      <c r="A46" s="96">
        <v>25800</v>
      </c>
      <c r="B46" s="156" t="s">
        <v>14</v>
      </c>
      <c r="C46" s="395"/>
      <c r="D46" s="395"/>
      <c r="E46" s="395"/>
      <c r="F46" s="395"/>
      <c r="G46" s="395"/>
      <c r="H46" s="395"/>
      <c r="I46" s="395">
        <v>1102662.67</v>
      </c>
      <c r="J46" s="396">
        <f t="shared" si="5"/>
        <v>1102662.67</v>
      </c>
    </row>
    <row r="47" spans="1:10" x14ac:dyDescent="0.2">
      <c r="A47" s="96">
        <v>25810</v>
      </c>
      <c r="B47" s="156" t="s">
        <v>15</v>
      </c>
      <c r="C47" s="395"/>
      <c r="D47" s="395"/>
      <c r="E47" s="395"/>
      <c r="F47" s="395"/>
      <c r="G47" s="395"/>
      <c r="H47" s="395"/>
      <c r="I47" s="395"/>
      <c r="J47" s="396">
        <f t="shared" si="5"/>
        <v>0</v>
      </c>
    </row>
    <row r="48" spans="1:10" x14ac:dyDescent="0.2">
      <c r="A48" s="96">
        <v>25820</v>
      </c>
      <c r="B48" s="156" t="s">
        <v>16</v>
      </c>
      <c r="C48" s="395"/>
      <c r="D48" s="395"/>
      <c r="E48" s="395"/>
      <c r="F48" s="395"/>
      <c r="G48" s="395"/>
      <c r="H48" s="395"/>
      <c r="I48" s="395"/>
      <c r="J48" s="396">
        <f t="shared" si="5"/>
        <v>0</v>
      </c>
    </row>
    <row r="49" spans="1:10" ht="13.5" thickBot="1" x14ac:dyDescent="0.25">
      <c r="A49" s="97">
        <v>25830</v>
      </c>
      <c r="B49" s="294" t="s">
        <v>66</v>
      </c>
      <c r="C49" s="397"/>
      <c r="D49" s="397"/>
      <c r="E49" s="397"/>
      <c r="F49" s="397"/>
      <c r="G49" s="397"/>
      <c r="H49" s="397"/>
      <c r="I49" s="397"/>
      <c r="J49" s="398">
        <f t="shared" si="5"/>
        <v>0</v>
      </c>
    </row>
    <row r="50" spans="1:10" ht="13.5" thickTop="1" x14ac:dyDescent="0.2">
      <c r="A50" s="98">
        <v>25000</v>
      </c>
      <c r="B50" s="160" t="s">
        <v>17</v>
      </c>
      <c r="C50" s="207">
        <f>SUM(C32:C49)-C35-C36</f>
        <v>25164</v>
      </c>
      <c r="D50" s="207">
        <f t="shared" ref="D50:J50" si="6">SUM(D32:D49)-D35-D36</f>
        <v>0</v>
      </c>
      <c r="E50" s="207">
        <f t="shared" si="6"/>
        <v>0</v>
      </c>
      <c r="F50" s="207">
        <f t="shared" si="6"/>
        <v>4587787.33</v>
      </c>
      <c r="G50" s="207">
        <f t="shared" si="6"/>
        <v>1250865.1700000002</v>
      </c>
      <c r="H50" s="207">
        <f t="shared" si="6"/>
        <v>685294.06</v>
      </c>
      <c r="I50" s="207">
        <f t="shared" si="6"/>
        <v>4905662.67</v>
      </c>
      <c r="J50" s="207">
        <f t="shared" si="6"/>
        <v>11454773.23</v>
      </c>
    </row>
    <row r="51" spans="1:10" ht="15" x14ac:dyDescent="0.25">
      <c r="A51" s="100"/>
      <c r="C51" s="8"/>
      <c r="D51" s="8"/>
      <c r="E51" s="8"/>
      <c r="F51" s="8"/>
      <c r="G51" s="8"/>
      <c r="H51" s="8"/>
      <c r="I51" s="8"/>
      <c r="J51" s="466">
        <f>SUM(C50:I50)</f>
        <v>11454773.23</v>
      </c>
    </row>
    <row r="52" spans="1:10" ht="15" x14ac:dyDescent="0.25">
      <c r="A52" s="100"/>
      <c r="C52" s="8"/>
      <c r="D52" s="8"/>
      <c r="E52" s="8"/>
      <c r="F52" s="8"/>
      <c r="G52" s="8"/>
      <c r="H52" s="8"/>
      <c r="I52" s="8"/>
      <c r="J52" s="8"/>
    </row>
    <row r="53" spans="1:10" ht="15" x14ac:dyDescent="0.25">
      <c r="A53" s="100" t="s">
        <v>316</v>
      </c>
      <c r="C53" s="8"/>
      <c r="D53" s="8"/>
      <c r="E53" s="8"/>
      <c r="F53" s="8"/>
      <c r="G53" s="8"/>
      <c r="H53" s="8"/>
      <c r="I53" s="8"/>
      <c r="J53" s="8"/>
    </row>
    <row r="54" spans="1:10" x14ac:dyDescent="0.2">
      <c r="A54" s="1428" t="s">
        <v>0</v>
      </c>
      <c r="B54" s="1430" t="s">
        <v>1</v>
      </c>
      <c r="C54" s="1430" t="s">
        <v>197</v>
      </c>
      <c r="D54" s="1431"/>
      <c r="E54" s="1431"/>
      <c r="F54" s="1431"/>
      <c r="G54" s="1431"/>
      <c r="H54" s="1431"/>
      <c r="I54" s="1431"/>
      <c r="J54" s="1432"/>
    </row>
    <row r="55" spans="1:10" x14ac:dyDescent="0.2">
      <c r="A55" s="1428"/>
      <c r="B55" s="1430"/>
      <c r="C55" s="98">
        <v>1182</v>
      </c>
      <c r="D55" s="98" t="s">
        <v>198</v>
      </c>
      <c r="E55" s="98">
        <v>1220</v>
      </c>
      <c r="F55" s="98">
        <v>1230</v>
      </c>
      <c r="G55" s="98" t="s">
        <v>342</v>
      </c>
      <c r="H55" s="98">
        <v>1390</v>
      </c>
      <c r="I55" s="98">
        <v>1680</v>
      </c>
      <c r="J55" s="380" t="s">
        <v>17</v>
      </c>
    </row>
    <row r="56" spans="1:10" ht="13.5" thickBot="1" x14ac:dyDescent="0.25">
      <c r="A56" s="1429"/>
      <c r="B56" s="1412"/>
      <c r="C56" s="206" t="s">
        <v>199</v>
      </c>
      <c r="D56" s="206" t="s">
        <v>203</v>
      </c>
      <c r="E56" s="206" t="s">
        <v>200</v>
      </c>
      <c r="F56" s="206" t="s">
        <v>312</v>
      </c>
      <c r="G56" s="206" t="s">
        <v>201</v>
      </c>
      <c r="H56" s="206" t="s">
        <v>341</v>
      </c>
      <c r="I56" s="206" t="s">
        <v>202</v>
      </c>
      <c r="J56" s="381" t="s">
        <v>105</v>
      </c>
    </row>
    <row r="57" spans="1:10" ht="13.5" thickTop="1" x14ac:dyDescent="0.2">
      <c r="A57" s="95">
        <v>25100</v>
      </c>
      <c r="B57" s="155" t="s">
        <v>2</v>
      </c>
      <c r="C57" s="393"/>
      <c r="D57" s="393"/>
      <c r="E57" s="393"/>
      <c r="F57" s="393">
        <v>468357</v>
      </c>
      <c r="G57" s="393"/>
      <c r="H57" s="393"/>
      <c r="I57" s="393"/>
      <c r="J57" s="394">
        <f>SUM(C57:I57)</f>
        <v>468357</v>
      </c>
    </row>
    <row r="58" spans="1:10" x14ac:dyDescent="0.2">
      <c r="A58" s="96">
        <v>25150</v>
      </c>
      <c r="B58" s="156" t="s">
        <v>3</v>
      </c>
      <c r="C58" s="395"/>
      <c r="D58" s="395"/>
      <c r="E58" s="395"/>
      <c r="F58" s="395"/>
      <c r="G58" s="395"/>
      <c r="H58" s="395">
        <f>199866.2+1090</f>
        <v>200956.2</v>
      </c>
      <c r="I58" s="395"/>
      <c r="J58" s="396">
        <f>SUM(C58:I58)</f>
        <v>200956.2</v>
      </c>
    </row>
    <row r="59" spans="1:10" x14ac:dyDescent="0.2">
      <c r="A59" s="96">
        <v>25200</v>
      </c>
      <c r="B59" s="156" t="s">
        <v>4</v>
      </c>
      <c r="C59" s="395"/>
      <c r="D59" s="395"/>
      <c r="E59" s="395"/>
      <c r="F59" s="395"/>
      <c r="G59" s="395">
        <f>22938.72+366455.78+200215.16</f>
        <v>589609.66</v>
      </c>
      <c r="H59" s="395"/>
      <c r="I59" s="395"/>
      <c r="J59" s="396">
        <f t="shared" ref="J59:J74" si="7">SUM(C59:I59)</f>
        <v>589609.66</v>
      </c>
    </row>
    <row r="60" spans="1:10" s="400" customFormat="1" hidden="1" x14ac:dyDescent="0.2">
      <c r="A60" s="220"/>
      <c r="B60" s="217" t="s">
        <v>117</v>
      </c>
      <c r="C60" s="399"/>
      <c r="D60" s="399"/>
      <c r="E60" s="399"/>
      <c r="F60" s="399"/>
      <c r="G60" s="399"/>
      <c r="H60" s="399"/>
      <c r="I60" s="399"/>
      <c r="J60" s="399">
        <f t="shared" si="7"/>
        <v>0</v>
      </c>
    </row>
    <row r="61" spans="1:10" s="400" customFormat="1" hidden="1" x14ac:dyDescent="0.2">
      <c r="A61" s="220"/>
      <c r="B61" s="217" t="s">
        <v>118</v>
      </c>
      <c r="C61" s="399"/>
      <c r="D61" s="399"/>
      <c r="E61" s="399"/>
      <c r="F61" s="399"/>
      <c r="G61" s="399">
        <f>22938.72+366455.78+200215.16</f>
        <v>589609.66</v>
      </c>
      <c r="H61" s="399"/>
      <c r="I61" s="399"/>
      <c r="J61" s="399">
        <f t="shared" si="7"/>
        <v>589609.66</v>
      </c>
    </row>
    <row r="62" spans="1:10" x14ac:dyDescent="0.2">
      <c r="A62" s="96">
        <v>25300</v>
      </c>
      <c r="B62" s="156" t="s">
        <v>5</v>
      </c>
      <c r="C62" s="395"/>
      <c r="D62" s="395"/>
      <c r="E62" s="395"/>
      <c r="F62" s="395"/>
      <c r="G62" s="395"/>
      <c r="H62" s="395"/>
      <c r="I62" s="395"/>
      <c r="J62" s="396">
        <f t="shared" si="7"/>
        <v>0</v>
      </c>
    </row>
    <row r="63" spans="1:10" x14ac:dyDescent="0.2">
      <c r="A63" s="96">
        <v>25350</v>
      </c>
      <c r="B63" s="156" t="s">
        <v>6</v>
      </c>
      <c r="C63" s="395"/>
      <c r="D63" s="395"/>
      <c r="E63" s="395"/>
      <c r="F63" s="395">
        <v>3619000</v>
      </c>
      <c r="G63" s="395"/>
      <c r="H63" s="395"/>
      <c r="I63" s="395"/>
      <c r="J63" s="396">
        <f t="shared" si="7"/>
        <v>3619000</v>
      </c>
    </row>
    <row r="64" spans="1:10" x14ac:dyDescent="0.2">
      <c r="A64" s="96">
        <v>25351</v>
      </c>
      <c r="B64" s="156" t="s">
        <v>7</v>
      </c>
      <c r="C64" s="395"/>
      <c r="D64" s="395"/>
      <c r="E64" s="395"/>
      <c r="F64" s="395"/>
      <c r="G64" s="395"/>
      <c r="H64" s="395"/>
      <c r="I64" s="395"/>
      <c r="J64" s="396">
        <f t="shared" si="7"/>
        <v>0</v>
      </c>
    </row>
    <row r="65" spans="1:10" x14ac:dyDescent="0.2">
      <c r="A65" s="96">
        <v>25352</v>
      </c>
      <c r="B65" s="156" t="s">
        <v>8</v>
      </c>
      <c r="C65" s="395"/>
      <c r="D65" s="395"/>
      <c r="E65" s="395"/>
      <c r="F65" s="395"/>
      <c r="G65" s="395">
        <v>240173.31</v>
      </c>
      <c r="H65" s="395"/>
      <c r="I65" s="395"/>
      <c r="J65" s="396">
        <f t="shared" si="7"/>
        <v>240173.31</v>
      </c>
    </row>
    <row r="66" spans="1:10" x14ac:dyDescent="0.2">
      <c r="A66" s="96">
        <v>25400</v>
      </c>
      <c r="B66" s="156" t="s">
        <v>9</v>
      </c>
      <c r="C66" s="395"/>
      <c r="D66" s="395"/>
      <c r="E66" s="395"/>
      <c r="F66" s="395"/>
      <c r="G66" s="395"/>
      <c r="H66" s="395"/>
      <c r="I66" s="395"/>
      <c r="J66" s="396">
        <f t="shared" si="7"/>
        <v>0</v>
      </c>
    </row>
    <row r="67" spans="1:10" x14ac:dyDescent="0.2">
      <c r="A67" s="96">
        <v>25500</v>
      </c>
      <c r="B67" s="156" t="s">
        <v>10</v>
      </c>
      <c r="C67" s="395"/>
      <c r="D67" s="395"/>
      <c r="E67" s="395">
        <v>33000</v>
      </c>
      <c r="F67" s="395"/>
      <c r="G67" s="395"/>
      <c r="H67" s="395"/>
      <c r="I67" s="395">
        <v>426000</v>
      </c>
      <c r="J67" s="396">
        <f t="shared" si="7"/>
        <v>459000</v>
      </c>
    </row>
    <row r="68" spans="1:10" x14ac:dyDescent="0.2">
      <c r="A68" s="96">
        <v>25600</v>
      </c>
      <c r="B68" s="156" t="s">
        <v>11</v>
      </c>
      <c r="C68" s="395"/>
      <c r="D68" s="395"/>
      <c r="E68" s="395"/>
      <c r="F68" s="395"/>
      <c r="G68" s="395"/>
      <c r="H68" s="395"/>
      <c r="I68" s="395"/>
      <c r="J68" s="396">
        <f t="shared" si="7"/>
        <v>0</v>
      </c>
    </row>
    <row r="69" spans="1:10" x14ac:dyDescent="0.2">
      <c r="A69" s="96">
        <v>25610</v>
      </c>
      <c r="B69" s="156" t="s">
        <v>12</v>
      </c>
      <c r="C69" s="395"/>
      <c r="D69" s="395"/>
      <c r="E69" s="395"/>
      <c r="F69" s="395"/>
      <c r="G69" s="395"/>
      <c r="H69" s="395"/>
      <c r="I69" s="395"/>
      <c r="J69" s="396">
        <f t="shared" si="7"/>
        <v>0</v>
      </c>
    </row>
    <row r="70" spans="1:10" x14ac:dyDescent="0.2">
      <c r="A70" s="96">
        <v>25700</v>
      </c>
      <c r="B70" s="156" t="s">
        <v>13</v>
      </c>
      <c r="C70" s="395"/>
      <c r="D70" s="395"/>
      <c r="E70" s="395"/>
      <c r="F70" s="395">
        <v>1461774</v>
      </c>
      <c r="G70" s="395"/>
      <c r="H70" s="395"/>
      <c r="I70" s="395"/>
      <c r="J70" s="396">
        <f t="shared" si="7"/>
        <v>1461774</v>
      </c>
    </row>
    <row r="71" spans="1:10" x14ac:dyDescent="0.2">
      <c r="A71" s="96">
        <v>25800</v>
      </c>
      <c r="B71" s="156" t="s">
        <v>14</v>
      </c>
      <c r="C71" s="395"/>
      <c r="D71" s="395"/>
      <c r="E71" s="395"/>
      <c r="F71" s="395"/>
      <c r="G71" s="395"/>
      <c r="H71" s="395"/>
      <c r="I71" s="395">
        <f>804000+999507.74</f>
        <v>1803507.74</v>
      </c>
      <c r="J71" s="396">
        <f t="shared" si="7"/>
        <v>1803507.74</v>
      </c>
    </row>
    <row r="72" spans="1:10" x14ac:dyDescent="0.2">
      <c r="A72" s="96">
        <v>25810</v>
      </c>
      <c r="B72" s="156" t="s">
        <v>15</v>
      </c>
      <c r="C72" s="395"/>
      <c r="D72" s="395"/>
      <c r="E72" s="395"/>
      <c r="F72" s="395"/>
      <c r="G72" s="395"/>
      <c r="H72" s="395"/>
      <c r="I72" s="395"/>
      <c r="J72" s="396">
        <f t="shared" si="7"/>
        <v>0</v>
      </c>
    </row>
    <row r="73" spans="1:10" x14ac:dyDescent="0.2">
      <c r="A73" s="96">
        <v>25820</v>
      </c>
      <c r="B73" s="156" t="s">
        <v>16</v>
      </c>
      <c r="C73" s="395"/>
      <c r="D73" s="395">
        <v>106737.61</v>
      </c>
      <c r="E73" s="395"/>
      <c r="F73" s="395">
        <v>1047000</v>
      </c>
      <c r="G73" s="395"/>
      <c r="H73" s="395"/>
      <c r="I73" s="395"/>
      <c r="J73" s="396">
        <f t="shared" si="7"/>
        <v>1153737.6100000001</v>
      </c>
    </row>
    <row r="74" spans="1:10" ht="13.5" thickBot="1" x14ac:dyDescent="0.25">
      <c r="A74" s="97">
        <v>25830</v>
      </c>
      <c r="B74" s="294" t="s">
        <v>66</v>
      </c>
      <c r="C74" s="397"/>
      <c r="D74" s="397"/>
      <c r="E74" s="397"/>
      <c r="F74" s="397"/>
      <c r="G74" s="397"/>
      <c r="H74" s="397"/>
      <c r="I74" s="397"/>
      <c r="J74" s="398">
        <f t="shared" si="7"/>
        <v>0</v>
      </c>
    </row>
    <row r="75" spans="1:10" ht="13.5" thickTop="1" x14ac:dyDescent="0.2">
      <c r="A75" s="98">
        <v>25000</v>
      </c>
      <c r="B75" s="160" t="s">
        <v>17</v>
      </c>
      <c r="C75" s="207">
        <f t="shared" ref="C75:J75" si="8">SUM(C57:C74)-C60-C61</f>
        <v>0</v>
      </c>
      <c r="D75" s="207">
        <f t="shared" si="8"/>
        <v>106737.61</v>
      </c>
      <c r="E75" s="207">
        <f t="shared" si="8"/>
        <v>33000</v>
      </c>
      <c r="F75" s="207">
        <f t="shared" si="8"/>
        <v>6596131</v>
      </c>
      <c r="G75" s="207">
        <f t="shared" si="8"/>
        <v>829782.97000000009</v>
      </c>
      <c r="H75" s="207">
        <f t="shared" si="8"/>
        <v>200956.2</v>
      </c>
      <c r="I75" s="207">
        <f t="shared" si="8"/>
        <v>2229507.7400000002</v>
      </c>
      <c r="J75" s="207">
        <f t="shared" si="8"/>
        <v>9996115.5199999977</v>
      </c>
    </row>
    <row r="76" spans="1:10" x14ac:dyDescent="0.2">
      <c r="C76" s="8"/>
      <c r="D76" s="8"/>
      <c r="E76" s="8"/>
      <c r="F76" s="8"/>
      <c r="G76" s="8"/>
      <c r="H76" s="8"/>
      <c r="I76" s="8"/>
      <c r="J76" s="466">
        <f>SUM(C75:I75)</f>
        <v>9996115.5199999996</v>
      </c>
    </row>
    <row r="77" spans="1:10" x14ac:dyDescent="0.2">
      <c r="C77" s="8"/>
      <c r="D77" s="8"/>
      <c r="E77" s="8"/>
      <c r="F77" s="8"/>
      <c r="G77" s="8"/>
      <c r="H77" s="8"/>
      <c r="I77" s="8"/>
      <c r="J77" s="8"/>
    </row>
    <row r="78" spans="1:10" ht="15" x14ac:dyDescent="0.25">
      <c r="A78" s="100" t="s">
        <v>247</v>
      </c>
      <c r="C78" s="8"/>
      <c r="D78" s="8"/>
      <c r="E78" s="8"/>
      <c r="F78" s="8"/>
      <c r="G78" s="8"/>
      <c r="H78" s="8"/>
      <c r="I78" s="8"/>
      <c r="J78" s="8"/>
    </row>
    <row r="79" spans="1:10" x14ac:dyDescent="0.2">
      <c r="A79" s="1428" t="s">
        <v>0</v>
      </c>
      <c r="B79" s="1430" t="s">
        <v>1</v>
      </c>
      <c r="C79" s="1430" t="s">
        <v>197</v>
      </c>
      <c r="D79" s="1431"/>
      <c r="E79" s="1431"/>
      <c r="F79" s="1431"/>
      <c r="G79" s="1431"/>
      <c r="H79" s="1431"/>
      <c r="I79" s="1431"/>
      <c r="J79" s="1432"/>
    </row>
    <row r="80" spans="1:10" x14ac:dyDescent="0.2">
      <c r="A80" s="1428"/>
      <c r="B80" s="1430"/>
      <c r="C80" s="98">
        <v>1182</v>
      </c>
      <c r="D80" s="98" t="s">
        <v>198</v>
      </c>
      <c r="E80" s="98">
        <v>1220</v>
      </c>
      <c r="F80" s="98">
        <v>1230</v>
      </c>
      <c r="G80" s="98">
        <v>1310</v>
      </c>
      <c r="H80" s="98">
        <v>1390</v>
      </c>
      <c r="I80" s="98">
        <v>1680</v>
      </c>
      <c r="J80" s="380" t="s">
        <v>17</v>
      </c>
    </row>
    <row r="81" spans="1:10" ht="13.5" thickBot="1" x14ac:dyDescent="0.25">
      <c r="A81" s="1429"/>
      <c r="B81" s="1412"/>
      <c r="C81" s="206" t="s">
        <v>199</v>
      </c>
      <c r="D81" s="206" t="s">
        <v>203</v>
      </c>
      <c r="E81" s="206" t="s">
        <v>200</v>
      </c>
      <c r="F81" s="206" t="s">
        <v>312</v>
      </c>
      <c r="G81" s="206" t="s">
        <v>201</v>
      </c>
      <c r="H81" s="206" t="s">
        <v>341</v>
      </c>
      <c r="I81" s="206" t="s">
        <v>202</v>
      </c>
      <c r="J81" s="381" t="s">
        <v>105</v>
      </c>
    </row>
    <row r="82" spans="1:10" ht="13.5" thickTop="1" x14ac:dyDescent="0.2">
      <c r="A82" s="95">
        <v>25100</v>
      </c>
      <c r="B82" s="155" t="s">
        <v>2</v>
      </c>
      <c r="C82" s="393"/>
      <c r="D82" s="393"/>
      <c r="E82" s="393"/>
      <c r="F82" s="393">
        <v>352568</v>
      </c>
      <c r="G82" s="393"/>
      <c r="H82" s="393"/>
      <c r="I82" s="393"/>
      <c r="J82" s="394">
        <f>SUM(C82:I82)</f>
        <v>352568</v>
      </c>
    </row>
    <row r="83" spans="1:10" x14ac:dyDescent="0.2">
      <c r="A83" s="96">
        <v>25150</v>
      </c>
      <c r="B83" s="156" t="s">
        <v>3</v>
      </c>
      <c r="C83" s="395"/>
      <c r="D83" s="395"/>
      <c r="E83" s="395"/>
      <c r="F83" s="395"/>
      <c r="G83" s="395"/>
      <c r="H83" s="395"/>
      <c r="I83" s="395"/>
      <c r="J83" s="396">
        <f>SUM(C83:I83)</f>
        <v>0</v>
      </c>
    </row>
    <row r="84" spans="1:10" x14ac:dyDescent="0.2">
      <c r="A84" s="96">
        <v>25200</v>
      </c>
      <c r="B84" s="156" t="s">
        <v>4</v>
      </c>
      <c r="C84" s="395"/>
      <c r="D84" s="395"/>
      <c r="E84" s="395"/>
      <c r="F84" s="395"/>
      <c r="G84" s="395">
        <v>367706.35</v>
      </c>
      <c r="H84" s="395"/>
      <c r="I84" s="395"/>
      <c r="J84" s="396">
        <f t="shared" ref="J84:J99" si="9">SUM(C84:I84)</f>
        <v>367706.35</v>
      </c>
    </row>
    <row r="85" spans="1:10" s="400" customFormat="1" hidden="1" x14ac:dyDescent="0.2">
      <c r="A85" s="220"/>
      <c r="B85" s="217" t="s">
        <v>117</v>
      </c>
      <c r="C85" s="399"/>
      <c r="D85" s="399"/>
      <c r="E85" s="399"/>
      <c r="F85" s="399"/>
      <c r="G85" s="399"/>
      <c r="H85" s="399"/>
      <c r="I85" s="399"/>
      <c r="J85" s="399">
        <f t="shared" si="9"/>
        <v>0</v>
      </c>
    </row>
    <row r="86" spans="1:10" s="400" customFormat="1" hidden="1" x14ac:dyDescent="0.2">
      <c r="A86" s="220"/>
      <c r="B86" s="217" t="s">
        <v>118</v>
      </c>
      <c r="C86" s="399"/>
      <c r="D86" s="399"/>
      <c r="E86" s="399"/>
      <c r="F86" s="399"/>
      <c r="G86" s="399">
        <v>367706.35</v>
      </c>
      <c r="H86" s="399"/>
      <c r="I86" s="399"/>
      <c r="J86" s="399">
        <f t="shared" si="9"/>
        <v>367706.35</v>
      </c>
    </row>
    <row r="87" spans="1:10" x14ac:dyDescent="0.2">
      <c r="A87" s="96">
        <v>25300</v>
      </c>
      <c r="B87" s="156" t="s">
        <v>5</v>
      </c>
      <c r="C87" s="395"/>
      <c r="D87" s="395"/>
      <c r="E87" s="395"/>
      <c r="F87" s="395"/>
      <c r="G87" s="395"/>
      <c r="H87" s="395"/>
      <c r="I87" s="395"/>
      <c r="J87" s="396">
        <f t="shared" si="9"/>
        <v>0</v>
      </c>
    </row>
    <row r="88" spans="1:10" x14ac:dyDescent="0.2">
      <c r="A88" s="96">
        <v>25350</v>
      </c>
      <c r="B88" s="156" t="s">
        <v>6</v>
      </c>
      <c r="C88" s="395"/>
      <c r="D88" s="395"/>
      <c r="E88" s="395"/>
      <c r="F88" s="395">
        <v>2735000</v>
      </c>
      <c r="G88" s="395"/>
      <c r="H88" s="395"/>
      <c r="I88" s="395">
        <v>350000</v>
      </c>
      <c r="J88" s="396">
        <f t="shared" si="9"/>
        <v>3085000</v>
      </c>
    </row>
    <row r="89" spans="1:10" x14ac:dyDescent="0.2">
      <c r="A89" s="96">
        <v>25351</v>
      </c>
      <c r="B89" s="156" t="s">
        <v>7</v>
      </c>
      <c r="C89" s="395"/>
      <c r="D89" s="395"/>
      <c r="E89" s="395"/>
      <c r="F89" s="395"/>
      <c r="G89" s="395"/>
      <c r="H89" s="395"/>
      <c r="I89" s="395">
        <v>1208000</v>
      </c>
      <c r="J89" s="396">
        <f t="shared" si="9"/>
        <v>1208000</v>
      </c>
    </row>
    <row r="90" spans="1:10" x14ac:dyDescent="0.2">
      <c r="A90" s="96">
        <v>25352</v>
      </c>
      <c r="B90" s="156" t="s">
        <v>8</v>
      </c>
      <c r="C90" s="395"/>
      <c r="D90" s="395"/>
      <c r="E90" s="395"/>
      <c r="F90" s="395"/>
      <c r="G90" s="395">
        <v>1554</v>
      </c>
      <c r="H90" s="395"/>
      <c r="I90" s="395"/>
      <c r="J90" s="396">
        <f t="shared" si="9"/>
        <v>1554</v>
      </c>
    </row>
    <row r="91" spans="1:10" x14ac:dyDescent="0.2">
      <c r="A91" s="96">
        <v>25400</v>
      </c>
      <c r="B91" s="156" t="s">
        <v>9</v>
      </c>
      <c r="C91" s="395"/>
      <c r="D91" s="395"/>
      <c r="E91" s="395"/>
      <c r="F91" s="395"/>
      <c r="G91" s="395"/>
      <c r="H91" s="395"/>
      <c r="I91" s="395"/>
      <c r="J91" s="396">
        <f t="shared" si="9"/>
        <v>0</v>
      </c>
    </row>
    <row r="92" spans="1:10" x14ac:dyDescent="0.2">
      <c r="A92" s="96">
        <v>25500</v>
      </c>
      <c r="B92" s="156" t="s">
        <v>10</v>
      </c>
      <c r="C92" s="395"/>
      <c r="D92" s="395"/>
      <c r="E92" s="395">
        <v>0</v>
      </c>
      <c r="F92" s="395"/>
      <c r="G92" s="395"/>
      <c r="H92" s="395"/>
      <c r="I92" s="395">
        <v>505749.5</v>
      </c>
      <c r="J92" s="396">
        <f t="shared" si="9"/>
        <v>505749.5</v>
      </c>
    </row>
    <row r="93" spans="1:10" x14ac:dyDescent="0.2">
      <c r="A93" s="96">
        <v>25600</v>
      </c>
      <c r="B93" s="156" t="s">
        <v>11</v>
      </c>
      <c r="C93" s="395">
        <v>0</v>
      </c>
      <c r="D93" s="395"/>
      <c r="E93" s="395"/>
      <c r="F93" s="395"/>
      <c r="G93" s="395"/>
      <c r="H93" s="395"/>
      <c r="I93" s="395">
        <v>594000</v>
      </c>
      <c r="J93" s="396">
        <f t="shared" si="9"/>
        <v>594000</v>
      </c>
    </row>
    <row r="94" spans="1:10" x14ac:dyDescent="0.2">
      <c r="A94" s="96">
        <v>25610</v>
      </c>
      <c r="B94" s="156" t="s">
        <v>12</v>
      </c>
      <c r="C94" s="395"/>
      <c r="D94" s="395"/>
      <c r="E94" s="395"/>
      <c r="F94" s="395"/>
      <c r="G94" s="395"/>
      <c r="H94" s="395"/>
      <c r="I94" s="395"/>
      <c r="J94" s="396">
        <f t="shared" si="9"/>
        <v>0</v>
      </c>
    </row>
    <row r="95" spans="1:10" x14ac:dyDescent="0.2">
      <c r="A95" s="96">
        <v>25700</v>
      </c>
      <c r="B95" s="156" t="s">
        <v>13</v>
      </c>
      <c r="C95" s="395"/>
      <c r="D95" s="395"/>
      <c r="E95" s="395"/>
      <c r="F95" s="395">
        <v>678388</v>
      </c>
      <c r="G95" s="395"/>
      <c r="H95" s="395"/>
      <c r="I95" s="395"/>
      <c r="J95" s="396">
        <f t="shared" si="9"/>
        <v>678388</v>
      </c>
    </row>
    <row r="96" spans="1:10" x14ac:dyDescent="0.2">
      <c r="A96" s="96">
        <v>25800</v>
      </c>
      <c r="B96" s="156" t="s">
        <v>14</v>
      </c>
      <c r="C96" s="395"/>
      <c r="D96" s="395"/>
      <c r="E96" s="395"/>
      <c r="F96" s="395"/>
      <c r="G96" s="395"/>
      <c r="H96" s="395"/>
      <c r="I96" s="395">
        <f>584000+1015875.98</f>
        <v>1599875.98</v>
      </c>
      <c r="J96" s="396">
        <f t="shared" si="9"/>
        <v>1599875.98</v>
      </c>
    </row>
    <row r="97" spans="1:10" x14ac:dyDescent="0.2">
      <c r="A97" s="96">
        <v>25810</v>
      </c>
      <c r="B97" s="156" t="s">
        <v>15</v>
      </c>
      <c r="C97" s="395"/>
      <c r="D97" s="395"/>
      <c r="E97" s="395"/>
      <c r="F97" s="395"/>
      <c r="G97" s="395"/>
      <c r="H97" s="395"/>
      <c r="I97" s="395"/>
      <c r="J97" s="396">
        <f t="shared" si="9"/>
        <v>0</v>
      </c>
    </row>
    <row r="98" spans="1:10" x14ac:dyDescent="0.2">
      <c r="A98" s="96">
        <v>25820</v>
      </c>
      <c r="B98" s="156" t="s">
        <v>16</v>
      </c>
      <c r="C98" s="395"/>
      <c r="D98" s="395"/>
      <c r="E98" s="395"/>
      <c r="F98" s="395">
        <v>1998000</v>
      </c>
      <c r="G98" s="395"/>
      <c r="H98" s="395"/>
      <c r="I98" s="395">
        <v>523000</v>
      </c>
      <c r="J98" s="396">
        <f t="shared" si="9"/>
        <v>2521000</v>
      </c>
    </row>
    <row r="99" spans="1:10" ht="13.5" thickBot="1" x14ac:dyDescent="0.25">
      <c r="A99" s="97">
        <v>25830</v>
      </c>
      <c r="B99" s="294" t="s">
        <v>66</v>
      </c>
      <c r="C99" s="397"/>
      <c r="D99" s="397"/>
      <c r="E99" s="397"/>
      <c r="F99" s="397"/>
      <c r="G99" s="397"/>
      <c r="H99" s="397"/>
      <c r="I99" s="397">
        <v>1001310.69</v>
      </c>
      <c r="J99" s="398">
        <f t="shared" si="9"/>
        <v>1001310.69</v>
      </c>
    </row>
    <row r="100" spans="1:10" ht="13.5" thickTop="1" x14ac:dyDescent="0.2">
      <c r="A100" s="98">
        <v>25000</v>
      </c>
      <c r="B100" s="160" t="s">
        <v>17</v>
      </c>
      <c r="C100" s="207">
        <f t="shared" ref="C100:J100" si="10">SUM(C82:C99)-C85-C86</f>
        <v>0</v>
      </c>
      <c r="D100" s="207">
        <f t="shared" si="10"/>
        <v>0</v>
      </c>
      <c r="E100" s="207">
        <f t="shared" si="10"/>
        <v>0</v>
      </c>
      <c r="F100" s="207">
        <f t="shared" si="10"/>
        <v>5763956</v>
      </c>
      <c r="G100" s="207">
        <f t="shared" si="10"/>
        <v>369260.35</v>
      </c>
      <c r="H100" s="207">
        <f t="shared" si="10"/>
        <v>0</v>
      </c>
      <c r="I100" s="207">
        <f t="shared" si="10"/>
        <v>5781936.1699999999</v>
      </c>
      <c r="J100" s="207">
        <f t="shared" si="10"/>
        <v>11915152.52</v>
      </c>
    </row>
    <row r="101" spans="1:10" x14ac:dyDescent="0.2">
      <c r="C101" s="8"/>
      <c r="D101" s="8"/>
      <c r="E101" s="8"/>
      <c r="F101" s="8"/>
      <c r="G101" s="8"/>
      <c r="H101" s="8"/>
      <c r="I101" s="8"/>
      <c r="J101" s="466">
        <f>SUM(C100:I100)</f>
        <v>11915152.52</v>
      </c>
    </row>
    <row r="102" spans="1:10" x14ac:dyDescent="0.2">
      <c r="C102" s="8"/>
      <c r="D102" s="8"/>
      <c r="E102" s="8"/>
      <c r="F102" s="8"/>
      <c r="G102" s="8"/>
      <c r="H102" s="8"/>
      <c r="I102" s="8"/>
      <c r="J102" s="8"/>
    </row>
  </sheetData>
  <mergeCells count="12">
    <mergeCell ref="A79:A81"/>
    <mergeCell ref="B79:B81"/>
    <mergeCell ref="C79:J79"/>
    <mergeCell ref="A4:A6"/>
    <mergeCell ref="B4:B6"/>
    <mergeCell ref="C4:J4"/>
    <mergeCell ref="A54:A56"/>
    <mergeCell ref="B54:B56"/>
    <mergeCell ref="C54:J54"/>
    <mergeCell ref="C29:J29"/>
    <mergeCell ref="A29:A31"/>
    <mergeCell ref="B29:B31"/>
  </mergeCells>
  <pageMargins left="0.7" right="0.7" top="0.75" bottom="0.65" header="0.3" footer="0.25"/>
  <pageSetup paperSize="9" scale="72" fitToHeight="0" orientation="portrait" r:id="rId1"/>
  <headerFooter>
    <oddFooter>&amp;C&amp;8&amp;A&amp;R&amp;8&amp;F</oddFooter>
  </headerFooter>
  <rowBreaks count="1" manualBreakCount="1">
    <brk id="7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K102"/>
  <sheetViews>
    <sheetView zoomScaleNormal="100" workbookViewId="0"/>
  </sheetViews>
  <sheetFormatPr defaultColWidth="8.85546875" defaultRowHeight="12.75" x14ac:dyDescent="0.2"/>
  <cols>
    <col min="1" max="1" width="10.28515625" style="15" customWidth="1"/>
    <col min="2" max="2" width="40.42578125" style="15" customWidth="1"/>
    <col min="3" max="5" width="9.85546875" style="15" customWidth="1"/>
    <col min="6" max="6" width="10.5703125" style="15" customWidth="1"/>
    <col min="7" max="9" width="8.85546875" style="15"/>
    <col min="10" max="10" width="10.85546875" style="15" customWidth="1"/>
    <col min="11" max="11" width="5.7109375" style="15" customWidth="1"/>
    <col min="12" max="16384" width="8.85546875" style="15"/>
  </cols>
  <sheetData>
    <row r="1" spans="1:11" ht="15" x14ac:dyDescent="0.25">
      <c r="A1" s="100" t="s">
        <v>433</v>
      </c>
    </row>
    <row r="2" spans="1:11" ht="15" x14ac:dyDescent="0.25">
      <c r="A2" s="100"/>
    </row>
    <row r="3" spans="1:11" ht="15" x14ac:dyDescent="0.25">
      <c r="A3" s="100" t="s">
        <v>432</v>
      </c>
    </row>
    <row r="4" spans="1:11" x14ac:dyDescent="0.2">
      <c r="A4" s="1428" t="s">
        <v>0</v>
      </c>
      <c r="B4" s="1430" t="s">
        <v>1</v>
      </c>
      <c r="C4" s="1433" t="s">
        <v>197</v>
      </c>
      <c r="D4" s="1434"/>
      <c r="E4" s="1434"/>
      <c r="F4" s="1434"/>
      <c r="G4" s="1434"/>
      <c r="H4" s="1434"/>
      <c r="I4" s="1434"/>
      <c r="J4" s="1435"/>
      <c r="K4" s="382"/>
    </row>
    <row r="5" spans="1:11" x14ac:dyDescent="0.2">
      <c r="A5" s="1428"/>
      <c r="B5" s="1430"/>
      <c r="C5" s="98">
        <v>1184</v>
      </c>
      <c r="D5" s="98">
        <v>1240</v>
      </c>
      <c r="E5" s="98">
        <v>1330</v>
      </c>
      <c r="F5" s="98">
        <v>1610</v>
      </c>
      <c r="G5" s="98"/>
      <c r="H5" s="98"/>
      <c r="I5" s="98"/>
      <c r="J5" s="380" t="s">
        <v>17</v>
      </c>
      <c r="K5" s="383" t="s">
        <v>156</v>
      </c>
    </row>
    <row r="6" spans="1:11" ht="13.5" thickBot="1" x14ac:dyDescent="0.25">
      <c r="A6" s="1429"/>
      <c r="B6" s="1412"/>
      <c r="C6" s="206" t="s">
        <v>204</v>
      </c>
      <c r="D6" s="206" t="s">
        <v>354</v>
      </c>
      <c r="E6" s="206" t="s">
        <v>206</v>
      </c>
      <c r="F6" s="206" t="s">
        <v>205</v>
      </c>
      <c r="G6" s="206"/>
      <c r="H6" s="206"/>
      <c r="I6" s="206"/>
      <c r="J6" s="381" t="s">
        <v>105</v>
      </c>
      <c r="K6" s="381" t="s">
        <v>18</v>
      </c>
    </row>
    <row r="7" spans="1:11" ht="13.5" thickTop="1" x14ac:dyDescent="0.2">
      <c r="A7" s="95">
        <v>25100</v>
      </c>
      <c r="B7" s="155" t="s">
        <v>2</v>
      </c>
      <c r="C7" s="388">
        <f t="shared" ref="C7:I7" si="0">C32+C57+C82</f>
        <v>0</v>
      </c>
      <c r="D7" s="388">
        <f t="shared" si="0"/>
        <v>150000</v>
      </c>
      <c r="E7" s="388">
        <f t="shared" si="0"/>
        <v>0</v>
      </c>
      <c r="F7" s="388">
        <f t="shared" si="0"/>
        <v>1727154</v>
      </c>
      <c r="G7" s="388">
        <f t="shared" si="0"/>
        <v>0</v>
      </c>
      <c r="H7" s="388">
        <f t="shared" si="0"/>
        <v>0</v>
      </c>
      <c r="I7" s="388">
        <f t="shared" si="0"/>
        <v>0</v>
      </c>
      <c r="J7" s="389">
        <f>SUM(C7:I7)</f>
        <v>1877154</v>
      </c>
      <c r="K7" s="385">
        <f>J7*100/$J$25</f>
        <v>7.7601993311520721</v>
      </c>
    </row>
    <row r="8" spans="1:11" x14ac:dyDescent="0.2">
      <c r="A8" s="96">
        <v>25150</v>
      </c>
      <c r="B8" s="156" t="s">
        <v>3</v>
      </c>
      <c r="C8" s="388">
        <f t="shared" ref="C8:I23" si="1">C33+C58+C83</f>
        <v>107485</v>
      </c>
      <c r="D8" s="388">
        <f t="shared" si="1"/>
        <v>993766.38</v>
      </c>
      <c r="E8" s="388">
        <f t="shared" si="1"/>
        <v>0</v>
      </c>
      <c r="F8" s="388">
        <f t="shared" si="1"/>
        <v>0</v>
      </c>
      <c r="G8" s="388">
        <f t="shared" si="1"/>
        <v>0</v>
      </c>
      <c r="H8" s="388">
        <f t="shared" si="1"/>
        <v>0</v>
      </c>
      <c r="I8" s="388">
        <f t="shared" si="1"/>
        <v>0</v>
      </c>
      <c r="J8" s="390">
        <f>SUM(C8:I8)</f>
        <v>1101251.3799999999</v>
      </c>
      <c r="K8" s="386">
        <f t="shared" ref="K8:K24" si="2">J8*100/$J$25</f>
        <v>4.5525994257830176</v>
      </c>
    </row>
    <row r="9" spans="1:11" x14ac:dyDescent="0.2">
      <c r="A9" s="96">
        <v>25200</v>
      </c>
      <c r="B9" s="156" t="s">
        <v>4</v>
      </c>
      <c r="C9" s="388">
        <f t="shared" si="1"/>
        <v>0</v>
      </c>
      <c r="D9" s="388">
        <f t="shared" si="1"/>
        <v>0</v>
      </c>
      <c r="E9" s="388">
        <f t="shared" si="1"/>
        <v>0</v>
      </c>
      <c r="F9" s="388">
        <f t="shared" si="1"/>
        <v>473264</v>
      </c>
      <c r="G9" s="388">
        <f t="shared" si="1"/>
        <v>0</v>
      </c>
      <c r="H9" s="388">
        <f t="shared" si="1"/>
        <v>0</v>
      </c>
      <c r="I9" s="388">
        <f t="shared" si="1"/>
        <v>0</v>
      </c>
      <c r="J9" s="390">
        <f t="shared" ref="J9:J24" si="3">SUM(C9:I9)</f>
        <v>473264</v>
      </c>
      <c r="K9" s="386">
        <f t="shared" si="2"/>
        <v>1.9564846444449171</v>
      </c>
    </row>
    <row r="10" spans="1:11" s="403" customFormat="1" hidden="1" x14ac:dyDescent="0.2">
      <c r="A10" s="220"/>
      <c r="B10" s="217" t="s">
        <v>117</v>
      </c>
      <c r="C10" s="401">
        <f t="shared" si="1"/>
        <v>0</v>
      </c>
      <c r="D10" s="401">
        <f t="shared" si="1"/>
        <v>0</v>
      </c>
      <c r="E10" s="321">
        <f t="shared" si="1"/>
        <v>0</v>
      </c>
      <c r="F10" s="401">
        <f t="shared" si="1"/>
        <v>0</v>
      </c>
      <c r="G10" s="401">
        <f t="shared" si="1"/>
        <v>0</v>
      </c>
      <c r="H10" s="401">
        <f t="shared" si="1"/>
        <v>0</v>
      </c>
      <c r="I10" s="401">
        <f t="shared" si="1"/>
        <v>0</v>
      </c>
      <c r="J10" s="264">
        <f t="shared" si="3"/>
        <v>0</v>
      </c>
      <c r="K10" s="402">
        <f t="shared" si="2"/>
        <v>0</v>
      </c>
    </row>
    <row r="11" spans="1:11" s="403" customFormat="1" hidden="1" x14ac:dyDescent="0.2">
      <c r="A11" s="220"/>
      <c r="B11" s="217" t="s">
        <v>118</v>
      </c>
      <c r="C11" s="401">
        <f t="shared" si="1"/>
        <v>0</v>
      </c>
      <c r="D11" s="401">
        <f t="shared" si="1"/>
        <v>0</v>
      </c>
      <c r="E11" s="321">
        <f t="shared" si="1"/>
        <v>0</v>
      </c>
      <c r="F11" s="401">
        <f t="shared" si="1"/>
        <v>473264</v>
      </c>
      <c r="G11" s="401">
        <f t="shared" si="1"/>
        <v>0</v>
      </c>
      <c r="H11" s="401">
        <f t="shared" si="1"/>
        <v>0</v>
      </c>
      <c r="I11" s="401">
        <f t="shared" si="1"/>
        <v>0</v>
      </c>
      <c r="J11" s="264">
        <f t="shared" si="3"/>
        <v>473264</v>
      </c>
      <c r="K11" s="402">
        <f t="shared" si="2"/>
        <v>1.9564846444449171</v>
      </c>
    </row>
    <row r="12" spans="1:11" x14ac:dyDescent="0.2">
      <c r="A12" s="96">
        <v>25300</v>
      </c>
      <c r="B12" s="156" t="s">
        <v>5</v>
      </c>
      <c r="C12" s="388">
        <f t="shared" si="1"/>
        <v>0</v>
      </c>
      <c r="D12" s="388">
        <f t="shared" si="1"/>
        <v>576000</v>
      </c>
      <c r="E12" s="388">
        <f t="shared" si="1"/>
        <v>742949.6</v>
      </c>
      <c r="F12" s="388">
        <f t="shared" si="1"/>
        <v>2655613</v>
      </c>
      <c r="G12" s="388">
        <f t="shared" si="1"/>
        <v>0</v>
      </c>
      <c r="H12" s="388">
        <f t="shared" si="1"/>
        <v>0</v>
      </c>
      <c r="I12" s="388">
        <f t="shared" si="1"/>
        <v>0</v>
      </c>
      <c r="J12" s="390">
        <f t="shared" si="3"/>
        <v>3974562.6</v>
      </c>
      <c r="K12" s="386">
        <f t="shared" si="2"/>
        <v>16.430936422979702</v>
      </c>
    </row>
    <row r="13" spans="1:11" x14ac:dyDescent="0.2">
      <c r="A13" s="96">
        <v>25350</v>
      </c>
      <c r="B13" s="156" t="s">
        <v>6</v>
      </c>
      <c r="C13" s="388">
        <f t="shared" si="1"/>
        <v>165200</v>
      </c>
      <c r="D13" s="388">
        <f t="shared" si="1"/>
        <v>0</v>
      </c>
      <c r="E13" s="388">
        <f t="shared" si="1"/>
        <v>0</v>
      </c>
      <c r="F13" s="388">
        <f t="shared" si="1"/>
        <v>1334861</v>
      </c>
      <c r="G13" s="388">
        <f t="shared" si="1"/>
        <v>0</v>
      </c>
      <c r="H13" s="388">
        <f t="shared" si="1"/>
        <v>0</v>
      </c>
      <c r="I13" s="388">
        <f t="shared" si="1"/>
        <v>0</v>
      </c>
      <c r="J13" s="390">
        <f t="shared" si="3"/>
        <v>1500061</v>
      </c>
      <c r="K13" s="386">
        <f t="shared" si="2"/>
        <v>6.201287890544573</v>
      </c>
    </row>
    <row r="14" spans="1:11" x14ac:dyDescent="0.2">
      <c r="A14" s="96">
        <v>25351</v>
      </c>
      <c r="B14" s="156" t="s">
        <v>7</v>
      </c>
      <c r="C14" s="388">
        <f t="shared" si="1"/>
        <v>0</v>
      </c>
      <c r="D14" s="388">
        <f t="shared" si="1"/>
        <v>321851.26</v>
      </c>
      <c r="E14" s="388">
        <f t="shared" si="1"/>
        <v>0</v>
      </c>
      <c r="F14" s="388">
        <f t="shared" si="1"/>
        <v>0</v>
      </c>
      <c r="G14" s="388">
        <f t="shared" si="1"/>
        <v>0</v>
      </c>
      <c r="H14" s="388">
        <f t="shared" si="1"/>
        <v>0</v>
      </c>
      <c r="I14" s="388">
        <f t="shared" si="1"/>
        <v>0</v>
      </c>
      <c r="J14" s="390">
        <f t="shared" si="3"/>
        <v>321851.26</v>
      </c>
      <c r="K14" s="386">
        <f t="shared" si="2"/>
        <v>1.3305407721382749</v>
      </c>
    </row>
    <row r="15" spans="1:11" x14ac:dyDescent="0.2">
      <c r="A15" s="96">
        <v>25352</v>
      </c>
      <c r="B15" s="156" t="s">
        <v>8</v>
      </c>
      <c r="C15" s="388">
        <f t="shared" si="1"/>
        <v>0</v>
      </c>
      <c r="D15" s="388">
        <f t="shared" si="1"/>
        <v>0</v>
      </c>
      <c r="E15" s="388">
        <f t="shared" si="1"/>
        <v>0</v>
      </c>
      <c r="F15" s="388">
        <f t="shared" si="1"/>
        <v>0</v>
      </c>
      <c r="G15" s="388">
        <f t="shared" si="1"/>
        <v>0</v>
      </c>
      <c r="H15" s="388">
        <f t="shared" si="1"/>
        <v>0</v>
      </c>
      <c r="I15" s="388">
        <f t="shared" si="1"/>
        <v>0</v>
      </c>
      <c r="J15" s="390">
        <f t="shared" si="3"/>
        <v>0</v>
      </c>
      <c r="K15" s="386">
        <f t="shared" si="2"/>
        <v>0</v>
      </c>
    </row>
    <row r="16" spans="1:11" x14ac:dyDescent="0.2">
      <c r="A16" s="96">
        <v>25400</v>
      </c>
      <c r="B16" s="156" t="s">
        <v>9</v>
      </c>
      <c r="C16" s="388">
        <f t="shared" si="1"/>
        <v>103260</v>
      </c>
      <c r="D16" s="388">
        <f t="shared" si="1"/>
        <v>0</v>
      </c>
      <c r="E16" s="388">
        <f t="shared" si="1"/>
        <v>0</v>
      </c>
      <c r="F16" s="388">
        <f t="shared" si="1"/>
        <v>429176</v>
      </c>
      <c r="G16" s="388">
        <f t="shared" si="1"/>
        <v>0</v>
      </c>
      <c r="H16" s="388">
        <f t="shared" si="1"/>
        <v>0</v>
      </c>
      <c r="I16" s="388">
        <f t="shared" si="1"/>
        <v>0</v>
      </c>
      <c r="J16" s="390">
        <f t="shared" si="3"/>
        <v>532436</v>
      </c>
      <c r="K16" s="386">
        <f t="shared" si="2"/>
        <v>2.2011031013338727</v>
      </c>
    </row>
    <row r="17" spans="1:11" x14ac:dyDescent="0.2">
      <c r="A17" s="96">
        <v>25500</v>
      </c>
      <c r="B17" s="156" t="s">
        <v>10</v>
      </c>
      <c r="C17" s="388">
        <f t="shared" si="1"/>
        <v>338890</v>
      </c>
      <c r="D17" s="388">
        <f t="shared" si="1"/>
        <v>0</v>
      </c>
      <c r="E17" s="388">
        <f t="shared" si="1"/>
        <v>1188719.82</v>
      </c>
      <c r="F17" s="388">
        <f t="shared" si="1"/>
        <v>976646</v>
      </c>
      <c r="G17" s="388">
        <f t="shared" si="1"/>
        <v>0</v>
      </c>
      <c r="H17" s="388">
        <f t="shared" si="1"/>
        <v>0</v>
      </c>
      <c r="I17" s="388">
        <f t="shared" si="1"/>
        <v>0</v>
      </c>
      <c r="J17" s="390">
        <f t="shared" si="3"/>
        <v>2504255.8200000003</v>
      </c>
      <c r="K17" s="386">
        <f t="shared" si="2"/>
        <v>10.352653186364936</v>
      </c>
    </row>
    <row r="18" spans="1:11" x14ac:dyDescent="0.2">
      <c r="A18" s="96">
        <v>25600</v>
      </c>
      <c r="B18" s="156" t="s">
        <v>11</v>
      </c>
      <c r="C18" s="388">
        <f t="shared" si="1"/>
        <v>423958</v>
      </c>
      <c r="D18" s="388">
        <f t="shared" si="1"/>
        <v>0</v>
      </c>
      <c r="E18" s="388">
        <f t="shared" si="1"/>
        <v>0</v>
      </c>
      <c r="F18" s="388">
        <f t="shared" si="1"/>
        <v>1062688</v>
      </c>
      <c r="G18" s="388">
        <f t="shared" si="1"/>
        <v>0</v>
      </c>
      <c r="H18" s="388">
        <f t="shared" si="1"/>
        <v>0</v>
      </c>
      <c r="I18" s="388">
        <f t="shared" si="1"/>
        <v>0</v>
      </c>
      <c r="J18" s="390">
        <f t="shared" si="3"/>
        <v>1486646</v>
      </c>
      <c r="K18" s="386">
        <f t="shared" si="2"/>
        <v>6.1458299611325993</v>
      </c>
    </row>
    <row r="19" spans="1:11" x14ac:dyDescent="0.2">
      <c r="A19" s="96">
        <v>25610</v>
      </c>
      <c r="B19" s="156" t="s">
        <v>12</v>
      </c>
      <c r="C19" s="388">
        <f t="shared" si="1"/>
        <v>0</v>
      </c>
      <c r="D19" s="388">
        <f t="shared" si="1"/>
        <v>0</v>
      </c>
      <c r="E19" s="388">
        <f t="shared" si="1"/>
        <v>0</v>
      </c>
      <c r="F19" s="388">
        <f t="shared" si="1"/>
        <v>0</v>
      </c>
      <c r="G19" s="388">
        <f t="shared" si="1"/>
        <v>0</v>
      </c>
      <c r="H19" s="388">
        <f t="shared" si="1"/>
        <v>0</v>
      </c>
      <c r="I19" s="388">
        <f t="shared" si="1"/>
        <v>0</v>
      </c>
      <c r="J19" s="390">
        <f t="shared" si="3"/>
        <v>0</v>
      </c>
      <c r="K19" s="386">
        <f t="shared" si="2"/>
        <v>0</v>
      </c>
    </row>
    <row r="20" spans="1:11" x14ac:dyDescent="0.2">
      <c r="A20" s="96">
        <v>25700</v>
      </c>
      <c r="B20" s="156" t="s">
        <v>13</v>
      </c>
      <c r="C20" s="388">
        <f t="shared" si="1"/>
        <v>0</v>
      </c>
      <c r="D20" s="388">
        <f t="shared" si="1"/>
        <v>1750122</v>
      </c>
      <c r="E20" s="388">
        <f t="shared" si="1"/>
        <v>0</v>
      </c>
      <c r="F20" s="388">
        <f t="shared" si="1"/>
        <v>810611.65999999992</v>
      </c>
      <c r="G20" s="388">
        <f t="shared" si="1"/>
        <v>0</v>
      </c>
      <c r="H20" s="388">
        <f t="shared" si="1"/>
        <v>0</v>
      </c>
      <c r="I20" s="388">
        <f t="shared" si="1"/>
        <v>0</v>
      </c>
      <c r="J20" s="390">
        <f t="shared" si="3"/>
        <v>2560733.66</v>
      </c>
      <c r="K20" s="386">
        <f t="shared" si="2"/>
        <v>10.586133921665775</v>
      </c>
    </row>
    <row r="21" spans="1:11" x14ac:dyDescent="0.2">
      <c r="A21" s="96">
        <v>25800</v>
      </c>
      <c r="B21" s="156" t="s">
        <v>14</v>
      </c>
      <c r="C21" s="388">
        <f t="shared" si="1"/>
        <v>40500</v>
      </c>
      <c r="D21" s="388">
        <f t="shared" si="1"/>
        <v>797200</v>
      </c>
      <c r="E21" s="388">
        <f t="shared" si="1"/>
        <v>0</v>
      </c>
      <c r="F21" s="388">
        <f t="shared" si="1"/>
        <v>2300727</v>
      </c>
      <c r="G21" s="388">
        <f t="shared" si="1"/>
        <v>0</v>
      </c>
      <c r="H21" s="388">
        <f t="shared" si="1"/>
        <v>0</v>
      </c>
      <c r="I21" s="388">
        <f t="shared" si="1"/>
        <v>0</v>
      </c>
      <c r="J21" s="390">
        <f t="shared" si="3"/>
        <v>3138427</v>
      </c>
      <c r="K21" s="386">
        <f t="shared" si="2"/>
        <v>12.974331944139694</v>
      </c>
    </row>
    <row r="22" spans="1:11" x14ac:dyDescent="0.2">
      <c r="A22" s="96">
        <v>25810</v>
      </c>
      <c r="B22" s="156" t="s">
        <v>15</v>
      </c>
      <c r="C22" s="388">
        <f t="shared" si="1"/>
        <v>0</v>
      </c>
      <c r="D22" s="388">
        <f t="shared" si="1"/>
        <v>0</v>
      </c>
      <c r="E22" s="388">
        <f t="shared" si="1"/>
        <v>0</v>
      </c>
      <c r="F22" s="388">
        <f t="shared" si="1"/>
        <v>0</v>
      </c>
      <c r="G22" s="388">
        <f t="shared" si="1"/>
        <v>0</v>
      </c>
      <c r="H22" s="388">
        <f t="shared" si="1"/>
        <v>0</v>
      </c>
      <c r="I22" s="388">
        <f t="shared" si="1"/>
        <v>0</v>
      </c>
      <c r="J22" s="390">
        <f t="shared" si="3"/>
        <v>0</v>
      </c>
      <c r="K22" s="386">
        <f t="shared" si="2"/>
        <v>0</v>
      </c>
    </row>
    <row r="23" spans="1:11" x14ac:dyDescent="0.2">
      <c r="A23" s="96">
        <v>25820</v>
      </c>
      <c r="B23" s="156" t="s">
        <v>16</v>
      </c>
      <c r="C23" s="388">
        <f t="shared" si="1"/>
        <v>0</v>
      </c>
      <c r="D23" s="388">
        <f t="shared" si="1"/>
        <v>0</v>
      </c>
      <c r="E23" s="388">
        <f t="shared" si="1"/>
        <v>1386839.79</v>
      </c>
      <c r="F23" s="388">
        <f t="shared" si="1"/>
        <v>815155</v>
      </c>
      <c r="G23" s="388">
        <f t="shared" si="1"/>
        <v>0</v>
      </c>
      <c r="H23" s="388">
        <f t="shared" si="1"/>
        <v>0</v>
      </c>
      <c r="I23" s="388">
        <f t="shared" si="1"/>
        <v>0</v>
      </c>
      <c r="J23" s="390">
        <f t="shared" si="3"/>
        <v>2201994.79</v>
      </c>
      <c r="K23" s="386">
        <f t="shared" si="2"/>
        <v>9.1030988914912392</v>
      </c>
    </row>
    <row r="24" spans="1:11" ht="13.5" thickBot="1" x14ac:dyDescent="0.25">
      <c r="A24" s="97">
        <v>25830</v>
      </c>
      <c r="B24" s="294" t="s">
        <v>66</v>
      </c>
      <c r="C24" s="391">
        <f t="shared" ref="C24:I24" si="4">C49+C74+C99</f>
        <v>1970280</v>
      </c>
      <c r="D24" s="391">
        <f t="shared" si="4"/>
        <v>0</v>
      </c>
      <c r="E24" s="391">
        <f t="shared" si="4"/>
        <v>0</v>
      </c>
      <c r="F24" s="391">
        <f t="shared" si="4"/>
        <v>546590</v>
      </c>
      <c r="G24" s="391">
        <f t="shared" si="4"/>
        <v>0</v>
      </c>
      <c r="H24" s="391">
        <f t="shared" si="4"/>
        <v>0</v>
      </c>
      <c r="I24" s="391">
        <f t="shared" si="4"/>
        <v>0</v>
      </c>
      <c r="J24" s="392">
        <f t="shared" si="3"/>
        <v>2516870</v>
      </c>
      <c r="K24" s="387">
        <f t="shared" si="2"/>
        <v>10.404800506829336</v>
      </c>
    </row>
    <row r="25" spans="1:11" ht="13.5" thickTop="1" x14ac:dyDescent="0.2">
      <c r="A25" s="98">
        <v>25000</v>
      </c>
      <c r="B25" s="160" t="s">
        <v>17</v>
      </c>
      <c r="C25" s="207">
        <f>SUM(C7:C24)-C10-C11</f>
        <v>3149573</v>
      </c>
      <c r="D25" s="207">
        <f t="shared" ref="D25:J25" si="5">SUM(D7:D24)-D10-D11</f>
        <v>4588939.6399999997</v>
      </c>
      <c r="E25" s="207">
        <f t="shared" si="5"/>
        <v>3318509.21</v>
      </c>
      <c r="F25" s="207">
        <f t="shared" si="5"/>
        <v>13132485.66</v>
      </c>
      <c r="G25" s="207">
        <f t="shared" si="5"/>
        <v>0</v>
      </c>
      <c r="H25" s="207">
        <f t="shared" si="5"/>
        <v>0</v>
      </c>
      <c r="I25" s="207">
        <f t="shared" si="5"/>
        <v>0</v>
      </c>
      <c r="J25" s="207">
        <f t="shared" si="5"/>
        <v>24189507.509999998</v>
      </c>
      <c r="K25" s="384">
        <f>SUM(K7:K24)-K10-K11</f>
        <v>100</v>
      </c>
    </row>
    <row r="26" spans="1:11" ht="15" x14ac:dyDescent="0.25">
      <c r="A26" s="100"/>
      <c r="J26" s="467">
        <f>J50+J75+J100</f>
        <v>24189507.509999998</v>
      </c>
    </row>
    <row r="27" spans="1:11" ht="15" x14ac:dyDescent="0.25">
      <c r="A27" s="100"/>
    </row>
    <row r="28" spans="1:11" ht="15" x14ac:dyDescent="0.25">
      <c r="A28" s="100" t="s">
        <v>346</v>
      </c>
    </row>
    <row r="29" spans="1:11" ht="25.5" customHeight="1" x14ac:dyDescent="0.2">
      <c r="A29" s="1428" t="s">
        <v>0</v>
      </c>
      <c r="B29" s="1430" t="s">
        <v>1</v>
      </c>
      <c r="C29" s="1433" t="s">
        <v>197</v>
      </c>
      <c r="D29" s="1434"/>
      <c r="E29" s="1434"/>
      <c r="F29" s="1434"/>
      <c r="G29" s="1434"/>
      <c r="H29" s="1434"/>
      <c r="I29" s="1434"/>
      <c r="J29" s="1435"/>
    </row>
    <row r="30" spans="1:11" x14ac:dyDescent="0.2">
      <c r="A30" s="1428"/>
      <c r="B30" s="1430"/>
      <c r="C30" s="98">
        <v>1184</v>
      </c>
      <c r="D30" s="98">
        <v>1240</v>
      </c>
      <c r="E30" s="98">
        <v>1330</v>
      </c>
      <c r="F30" s="98">
        <v>1610</v>
      </c>
      <c r="G30" s="98"/>
      <c r="H30" s="98"/>
      <c r="I30" s="98"/>
      <c r="J30" s="380" t="s">
        <v>17</v>
      </c>
    </row>
    <row r="31" spans="1:11" ht="13.5" thickBot="1" x14ac:dyDescent="0.25">
      <c r="A31" s="1429"/>
      <c r="B31" s="1412"/>
      <c r="C31" s="206" t="s">
        <v>204</v>
      </c>
      <c r="D31" s="206" t="s">
        <v>354</v>
      </c>
      <c r="E31" s="206" t="s">
        <v>206</v>
      </c>
      <c r="F31" s="206" t="s">
        <v>205</v>
      </c>
      <c r="G31" s="206"/>
      <c r="H31" s="206"/>
      <c r="I31" s="206"/>
      <c r="J31" s="381" t="s">
        <v>105</v>
      </c>
    </row>
    <row r="32" spans="1:11" ht="13.5" thickTop="1" x14ac:dyDescent="0.2">
      <c r="A32" s="95">
        <v>25100</v>
      </c>
      <c r="B32" s="155" t="s">
        <v>2</v>
      </c>
      <c r="C32" s="393"/>
      <c r="D32" s="393"/>
      <c r="E32" s="393"/>
      <c r="F32" s="393">
        <v>486409</v>
      </c>
      <c r="G32" s="393"/>
      <c r="H32" s="393"/>
      <c r="I32" s="393"/>
      <c r="J32" s="394">
        <f>SUM(C32:I32)</f>
        <v>486409</v>
      </c>
    </row>
    <row r="33" spans="1:10" x14ac:dyDescent="0.2">
      <c r="A33" s="96">
        <v>25150</v>
      </c>
      <c r="B33" s="156" t="s">
        <v>3</v>
      </c>
      <c r="C33" s="395"/>
      <c r="D33" s="395"/>
      <c r="E33" s="395"/>
      <c r="F33" s="395"/>
      <c r="G33" s="395"/>
      <c r="H33" s="395"/>
      <c r="I33" s="395"/>
      <c r="J33" s="396">
        <f>SUM(C33:I33)</f>
        <v>0</v>
      </c>
    </row>
    <row r="34" spans="1:10" x14ac:dyDescent="0.2">
      <c r="A34" s="96">
        <v>25200</v>
      </c>
      <c r="B34" s="156" t="s">
        <v>4</v>
      </c>
      <c r="C34" s="395"/>
      <c r="D34" s="395"/>
      <c r="E34" s="395"/>
      <c r="F34" s="395">
        <v>271854</v>
      </c>
      <c r="G34" s="395"/>
      <c r="H34" s="395"/>
      <c r="I34" s="395"/>
      <c r="J34" s="396">
        <f t="shared" ref="J34:J49" si="6">SUM(C34:I34)</f>
        <v>271854</v>
      </c>
    </row>
    <row r="35" spans="1:10" s="400" customFormat="1" hidden="1" x14ac:dyDescent="0.2">
      <c r="A35" s="220"/>
      <c r="B35" s="217" t="s">
        <v>117</v>
      </c>
      <c r="C35" s="399"/>
      <c r="D35" s="399"/>
      <c r="E35" s="399"/>
      <c r="F35" s="399"/>
      <c r="G35" s="399"/>
      <c r="H35" s="399"/>
      <c r="I35" s="399"/>
      <c r="J35" s="399">
        <f t="shared" si="6"/>
        <v>0</v>
      </c>
    </row>
    <row r="36" spans="1:10" s="400" customFormat="1" hidden="1" x14ac:dyDescent="0.2">
      <c r="A36" s="220"/>
      <c r="B36" s="217" t="s">
        <v>118</v>
      </c>
      <c r="C36" s="399"/>
      <c r="D36" s="399"/>
      <c r="E36" s="399"/>
      <c r="F36" s="399">
        <v>271854</v>
      </c>
      <c r="G36" s="399"/>
      <c r="H36" s="399"/>
      <c r="I36" s="399"/>
      <c r="J36" s="399">
        <f t="shared" si="6"/>
        <v>271854</v>
      </c>
    </row>
    <row r="37" spans="1:10" x14ac:dyDescent="0.2">
      <c r="A37" s="96">
        <v>25300</v>
      </c>
      <c r="B37" s="156" t="s">
        <v>5</v>
      </c>
      <c r="C37" s="395"/>
      <c r="D37" s="395">
        <f>60000+90000+126000</f>
        <v>276000</v>
      </c>
      <c r="E37" s="395"/>
      <c r="F37" s="395">
        <f>609867+392590</f>
        <v>1002457</v>
      </c>
      <c r="G37" s="395"/>
      <c r="H37" s="395"/>
      <c r="I37" s="395"/>
      <c r="J37" s="396">
        <f t="shared" si="6"/>
        <v>1278457</v>
      </c>
    </row>
    <row r="38" spans="1:10" x14ac:dyDescent="0.2">
      <c r="A38" s="96">
        <v>25350</v>
      </c>
      <c r="B38" s="156" t="s">
        <v>6</v>
      </c>
      <c r="C38" s="395"/>
      <c r="D38" s="395"/>
      <c r="E38" s="395"/>
      <c r="F38" s="395">
        <v>316811</v>
      </c>
      <c r="G38" s="395"/>
      <c r="H38" s="395"/>
      <c r="I38" s="395"/>
      <c r="J38" s="396">
        <f t="shared" si="6"/>
        <v>316811</v>
      </c>
    </row>
    <row r="39" spans="1:10" x14ac:dyDescent="0.2">
      <c r="A39" s="96">
        <v>25351</v>
      </c>
      <c r="B39" s="156" t="s">
        <v>7</v>
      </c>
      <c r="C39" s="395"/>
      <c r="D39" s="395"/>
      <c r="E39" s="395"/>
      <c r="F39" s="395"/>
      <c r="G39" s="395"/>
      <c r="H39" s="395"/>
      <c r="I39" s="395"/>
      <c r="J39" s="396">
        <f t="shared" si="6"/>
        <v>0</v>
      </c>
    </row>
    <row r="40" spans="1:10" x14ac:dyDescent="0.2">
      <c r="A40" s="96">
        <v>25352</v>
      </c>
      <c r="B40" s="156" t="s">
        <v>8</v>
      </c>
      <c r="C40" s="395"/>
      <c r="D40" s="395"/>
      <c r="E40" s="395"/>
      <c r="F40" s="395"/>
      <c r="G40" s="395"/>
      <c r="H40" s="395"/>
      <c r="I40" s="395"/>
      <c r="J40" s="396">
        <f t="shared" si="6"/>
        <v>0</v>
      </c>
    </row>
    <row r="41" spans="1:10" x14ac:dyDescent="0.2">
      <c r="A41" s="96">
        <v>25400</v>
      </c>
      <c r="B41" s="156" t="s">
        <v>9</v>
      </c>
      <c r="C41" s="395"/>
      <c r="D41" s="395"/>
      <c r="E41" s="395"/>
      <c r="F41" s="395">
        <v>206646</v>
      </c>
      <c r="G41" s="395"/>
      <c r="H41" s="395"/>
      <c r="I41" s="395"/>
      <c r="J41" s="396">
        <f t="shared" si="6"/>
        <v>206646</v>
      </c>
    </row>
    <row r="42" spans="1:10" x14ac:dyDescent="0.2">
      <c r="A42" s="96">
        <v>25500</v>
      </c>
      <c r="B42" s="156" t="s">
        <v>10</v>
      </c>
      <c r="C42" s="395"/>
      <c r="D42" s="395"/>
      <c r="E42" s="395">
        <v>414956.3</v>
      </c>
      <c r="F42" s="395"/>
      <c r="G42" s="395"/>
      <c r="H42" s="395"/>
      <c r="I42" s="395"/>
      <c r="J42" s="396">
        <f t="shared" si="6"/>
        <v>414956.3</v>
      </c>
    </row>
    <row r="43" spans="1:10" x14ac:dyDescent="0.2">
      <c r="A43" s="96">
        <v>25600</v>
      </c>
      <c r="B43" s="156" t="s">
        <v>11</v>
      </c>
      <c r="C43" s="395"/>
      <c r="D43" s="395"/>
      <c r="E43" s="395"/>
      <c r="F43" s="395">
        <f>143220+196405+246103</f>
        <v>585728</v>
      </c>
      <c r="G43" s="395"/>
      <c r="H43" s="395"/>
      <c r="I43" s="395"/>
      <c r="J43" s="396">
        <f t="shared" si="6"/>
        <v>585728</v>
      </c>
    </row>
    <row r="44" spans="1:10" x14ac:dyDescent="0.2">
      <c r="A44" s="96">
        <v>25610</v>
      </c>
      <c r="B44" s="156" t="s">
        <v>12</v>
      </c>
      <c r="C44" s="395"/>
      <c r="D44" s="395"/>
      <c r="E44" s="395"/>
      <c r="F44" s="395"/>
      <c r="G44" s="395"/>
      <c r="H44" s="395"/>
      <c r="I44" s="395"/>
      <c r="J44" s="396">
        <f t="shared" si="6"/>
        <v>0</v>
      </c>
    </row>
    <row r="45" spans="1:10" x14ac:dyDescent="0.2">
      <c r="A45" s="96">
        <v>25700</v>
      </c>
      <c r="B45" s="156" t="s">
        <v>13</v>
      </c>
      <c r="C45" s="395"/>
      <c r="D45" s="395">
        <v>1098122.8999999999</v>
      </c>
      <c r="E45" s="395"/>
      <c r="F45" s="395">
        <v>186681</v>
      </c>
      <c r="G45" s="395"/>
      <c r="H45" s="395"/>
      <c r="I45" s="395"/>
      <c r="J45" s="396">
        <f t="shared" si="6"/>
        <v>1284803.8999999999</v>
      </c>
    </row>
    <row r="46" spans="1:10" x14ac:dyDescent="0.2">
      <c r="A46" s="96">
        <v>25800</v>
      </c>
      <c r="B46" s="156" t="s">
        <v>14</v>
      </c>
      <c r="C46" s="395"/>
      <c r="D46" s="395">
        <f>60000+126000</f>
        <v>186000</v>
      </c>
      <c r="E46" s="395"/>
      <c r="F46" s="395">
        <f>532334+363330</f>
        <v>895664</v>
      </c>
      <c r="G46" s="395"/>
      <c r="H46" s="395"/>
      <c r="I46" s="395"/>
      <c r="J46" s="396">
        <f t="shared" si="6"/>
        <v>1081664</v>
      </c>
    </row>
    <row r="47" spans="1:10" x14ac:dyDescent="0.2">
      <c r="A47" s="96">
        <v>25810</v>
      </c>
      <c r="B47" s="156" t="s">
        <v>15</v>
      </c>
      <c r="C47" s="395"/>
      <c r="D47" s="395"/>
      <c r="E47" s="395"/>
      <c r="F47" s="395"/>
      <c r="G47" s="395"/>
      <c r="H47" s="395"/>
      <c r="I47" s="395"/>
      <c r="J47" s="396">
        <f t="shared" si="6"/>
        <v>0</v>
      </c>
    </row>
    <row r="48" spans="1:10" x14ac:dyDescent="0.2">
      <c r="A48" s="96">
        <v>25820</v>
      </c>
      <c r="B48" s="156" t="s">
        <v>16</v>
      </c>
      <c r="C48" s="395"/>
      <c r="D48" s="395"/>
      <c r="E48" s="395">
        <v>642030.18000000005</v>
      </c>
      <c r="F48" s="395">
        <v>815155</v>
      </c>
      <c r="G48" s="395"/>
      <c r="H48" s="395"/>
      <c r="I48" s="395"/>
      <c r="J48" s="396">
        <f t="shared" si="6"/>
        <v>1457185.1800000002</v>
      </c>
    </row>
    <row r="49" spans="1:10" ht="13.5" thickBot="1" x14ac:dyDescent="0.25">
      <c r="A49" s="97">
        <v>25830</v>
      </c>
      <c r="B49" s="294" t="s">
        <v>66</v>
      </c>
      <c r="C49" s="397"/>
      <c r="D49" s="397"/>
      <c r="E49" s="397"/>
      <c r="F49" s="397"/>
      <c r="G49" s="397"/>
      <c r="H49" s="397"/>
      <c r="I49" s="397"/>
      <c r="J49" s="398">
        <f t="shared" si="6"/>
        <v>0</v>
      </c>
    </row>
    <row r="50" spans="1:10" ht="13.5" thickTop="1" x14ac:dyDescent="0.2">
      <c r="A50" s="98">
        <v>25000</v>
      </c>
      <c r="B50" s="160" t="s">
        <v>17</v>
      </c>
      <c r="C50" s="207">
        <f>SUM(C32:C49)-C35-C36</f>
        <v>0</v>
      </c>
      <c r="D50" s="207">
        <f t="shared" ref="D50:J50" si="7">SUM(D32:D49)-D35-D36</f>
        <v>1560122.9</v>
      </c>
      <c r="E50" s="207">
        <f t="shared" si="7"/>
        <v>1056986.48</v>
      </c>
      <c r="F50" s="207">
        <f t="shared" si="7"/>
        <v>4767405</v>
      </c>
      <c r="G50" s="207">
        <f t="shared" si="7"/>
        <v>0</v>
      </c>
      <c r="H50" s="207">
        <f t="shared" si="7"/>
        <v>0</v>
      </c>
      <c r="I50" s="207">
        <f t="shared" si="7"/>
        <v>0</v>
      </c>
      <c r="J50" s="207">
        <f t="shared" si="7"/>
        <v>7384514.379999999</v>
      </c>
    </row>
    <row r="51" spans="1:10" ht="15" x14ac:dyDescent="0.25">
      <c r="A51" s="100"/>
      <c r="C51" s="8"/>
      <c r="D51" s="8"/>
      <c r="E51" s="8"/>
      <c r="F51" s="8"/>
      <c r="G51" s="8"/>
      <c r="H51" s="8"/>
      <c r="I51" s="8"/>
      <c r="J51" s="466">
        <f>SUM(C50:I50)</f>
        <v>7384514.3799999999</v>
      </c>
    </row>
    <row r="52" spans="1:10" ht="15" x14ac:dyDescent="0.25">
      <c r="A52" s="100"/>
      <c r="C52" s="8"/>
      <c r="D52" s="8"/>
      <c r="E52" s="8"/>
      <c r="F52" s="8"/>
      <c r="G52" s="8"/>
      <c r="H52" s="8"/>
      <c r="I52" s="8"/>
      <c r="J52" s="8"/>
    </row>
    <row r="53" spans="1:10" ht="15" x14ac:dyDescent="0.25">
      <c r="A53" s="100" t="s">
        <v>316</v>
      </c>
      <c r="C53" s="8"/>
      <c r="D53" s="8"/>
      <c r="E53" s="8"/>
      <c r="F53" s="8"/>
      <c r="G53" s="8"/>
      <c r="H53" s="8"/>
      <c r="I53" s="8"/>
      <c r="J53" s="8"/>
    </row>
    <row r="54" spans="1:10" x14ac:dyDescent="0.2">
      <c r="A54" s="1428" t="s">
        <v>0</v>
      </c>
      <c r="B54" s="1430" t="s">
        <v>1</v>
      </c>
      <c r="C54" s="1430" t="s">
        <v>197</v>
      </c>
      <c r="D54" s="1431"/>
      <c r="E54" s="1431"/>
      <c r="F54" s="1431"/>
      <c r="G54" s="1431"/>
      <c r="H54" s="1431"/>
      <c r="I54" s="1431"/>
      <c r="J54" s="1432"/>
    </row>
    <row r="55" spans="1:10" x14ac:dyDescent="0.2">
      <c r="A55" s="1428"/>
      <c r="B55" s="1430"/>
      <c r="C55" s="98">
        <v>1184</v>
      </c>
      <c r="D55" s="98">
        <v>1240</v>
      </c>
      <c r="E55" s="98">
        <v>1330</v>
      </c>
      <c r="F55" s="98">
        <v>1610</v>
      </c>
      <c r="G55" s="98"/>
      <c r="H55" s="98"/>
      <c r="I55" s="98"/>
      <c r="J55" s="380" t="s">
        <v>17</v>
      </c>
    </row>
    <row r="56" spans="1:10" ht="13.5" thickBot="1" x14ac:dyDescent="0.25">
      <c r="A56" s="1429"/>
      <c r="B56" s="1412"/>
      <c r="C56" s="206" t="s">
        <v>204</v>
      </c>
      <c r="D56" s="206" t="s">
        <v>354</v>
      </c>
      <c r="E56" s="206" t="s">
        <v>206</v>
      </c>
      <c r="F56" s="206" t="s">
        <v>205</v>
      </c>
      <c r="G56" s="206"/>
      <c r="H56" s="206"/>
      <c r="I56" s="206"/>
      <c r="J56" s="381" t="s">
        <v>105</v>
      </c>
    </row>
    <row r="57" spans="1:10" ht="13.5" thickTop="1" x14ac:dyDescent="0.2">
      <c r="A57" s="95">
        <v>25100</v>
      </c>
      <c r="B57" s="155" t="s">
        <v>2</v>
      </c>
      <c r="C57" s="393"/>
      <c r="D57" s="393">
        <v>60000</v>
      </c>
      <c r="E57" s="393"/>
      <c r="F57" s="393">
        <v>457567</v>
      </c>
      <c r="G57" s="393"/>
      <c r="H57" s="393"/>
      <c r="I57" s="393"/>
      <c r="J57" s="394">
        <f>SUM(C57:I57)</f>
        <v>517567</v>
      </c>
    </row>
    <row r="58" spans="1:10" x14ac:dyDescent="0.2">
      <c r="A58" s="96">
        <v>25150</v>
      </c>
      <c r="B58" s="156" t="s">
        <v>3</v>
      </c>
      <c r="C58" s="395">
        <v>40500</v>
      </c>
      <c r="D58" s="395">
        <f>16581+867483.38</f>
        <v>884064.38</v>
      </c>
      <c r="E58" s="395"/>
      <c r="F58" s="395"/>
      <c r="G58" s="395"/>
      <c r="H58" s="395"/>
      <c r="I58" s="395"/>
      <c r="J58" s="396">
        <f>SUM(C58:I58)</f>
        <v>924564.38</v>
      </c>
    </row>
    <row r="59" spans="1:10" x14ac:dyDescent="0.2">
      <c r="A59" s="96">
        <v>25200</v>
      </c>
      <c r="B59" s="156" t="s">
        <v>4</v>
      </c>
      <c r="C59" s="395"/>
      <c r="D59" s="395"/>
      <c r="E59" s="395"/>
      <c r="F59" s="395"/>
      <c r="G59" s="395"/>
      <c r="H59" s="395"/>
      <c r="I59" s="395"/>
      <c r="J59" s="396">
        <f t="shared" ref="J59:J74" si="8">SUM(C59:I59)</f>
        <v>0</v>
      </c>
    </row>
    <row r="60" spans="1:10" s="400" customFormat="1" hidden="1" x14ac:dyDescent="0.2">
      <c r="A60" s="220"/>
      <c r="B60" s="217" t="s">
        <v>117</v>
      </c>
      <c r="C60" s="399"/>
      <c r="D60" s="399"/>
      <c r="E60" s="399"/>
      <c r="F60" s="399"/>
      <c r="G60" s="399"/>
      <c r="H60" s="399"/>
      <c r="I60" s="399"/>
      <c r="J60" s="399">
        <f t="shared" si="8"/>
        <v>0</v>
      </c>
    </row>
    <row r="61" spans="1:10" s="400" customFormat="1" hidden="1" x14ac:dyDescent="0.2">
      <c r="A61" s="220"/>
      <c r="B61" s="217" t="s">
        <v>118</v>
      </c>
      <c r="C61" s="399"/>
      <c r="D61" s="399"/>
      <c r="E61" s="399"/>
      <c r="F61" s="399"/>
      <c r="G61" s="399"/>
      <c r="H61" s="399"/>
      <c r="I61" s="399"/>
      <c r="J61" s="399">
        <f t="shared" si="8"/>
        <v>0</v>
      </c>
    </row>
    <row r="62" spans="1:10" x14ac:dyDescent="0.2">
      <c r="A62" s="96">
        <v>25300</v>
      </c>
      <c r="B62" s="156" t="s">
        <v>5</v>
      </c>
      <c r="C62" s="395"/>
      <c r="D62" s="395">
        <f>90000+90000</f>
        <v>180000</v>
      </c>
      <c r="E62" s="395"/>
      <c r="F62" s="395">
        <f>693880+204808</f>
        <v>898688</v>
      </c>
      <c r="G62" s="395"/>
      <c r="H62" s="395"/>
      <c r="I62" s="395"/>
      <c r="J62" s="396">
        <f t="shared" si="8"/>
        <v>1078688</v>
      </c>
    </row>
    <row r="63" spans="1:10" x14ac:dyDescent="0.2">
      <c r="A63" s="96">
        <v>25350</v>
      </c>
      <c r="B63" s="156" t="s">
        <v>6</v>
      </c>
      <c r="C63" s="395">
        <v>40500</v>
      </c>
      <c r="D63" s="395"/>
      <c r="E63" s="395"/>
      <c r="F63" s="395">
        <v>440902</v>
      </c>
      <c r="G63" s="395"/>
      <c r="H63" s="395"/>
      <c r="I63" s="395"/>
      <c r="J63" s="396">
        <f t="shared" si="8"/>
        <v>481402</v>
      </c>
    </row>
    <row r="64" spans="1:10" x14ac:dyDescent="0.2">
      <c r="A64" s="96">
        <v>25351</v>
      </c>
      <c r="B64" s="156" t="s">
        <v>7</v>
      </c>
      <c r="C64" s="395"/>
      <c r="D64" s="395">
        <f>45865.2+174237.09</f>
        <v>220102.28999999998</v>
      </c>
      <c r="E64" s="395"/>
      <c r="F64" s="395"/>
      <c r="G64" s="395"/>
      <c r="H64" s="395"/>
      <c r="I64" s="395"/>
      <c r="J64" s="396">
        <f t="shared" si="8"/>
        <v>220102.28999999998</v>
      </c>
    </row>
    <row r="65" spans="1:10" x14ac:dyDescent="0.2">
      <c r="A65" s="96">
        <v>25352</v>
      </c>
      <c r="B65" s="156" t="s">
        <v>8</v>
      </c>
      <c r="C65" s="395"/>
      <c r="D65" s="395"/>
      <c r="E65" s="395"/>
      <c r="F65" s="395"/>
      <c r="G65" s="395"/>
      <c r="H65" s="395"/>
      <c r="I65" s="395"/>
      <c r="J65" s="396">
        <f t="shared" si="8"/>
        <v>0</v>
      </c>
    </row>
    <row r="66" spans="1:10" x14ac:dyDescent="0.2">
      <c r="A66" s="96">
        <v>25400</v>
      </c>
      <c r="B66" s="156" t="s">
        <v>9</v>
      </c>
      <c r="C66" s="395">
        <v>40500</v>
      </c>
      <c r="D66" s="395"/>
      <c r="E66" s="395"/>
      <c r="F66" s="395"/>
      <c r="G66" s="395"/>
      <c r="H66" s="395"/>
      <c r="I66" s="395"/>
      <c r="J66" s="396">
        <f t="shared" si="8"/>
        <v>40500</v>
      </c>
    </row>
    <row r="67" spans="1:10" x14ac:dyDescent="0.2">
      <c r="A67" s="96">
        <v>25500</v>
      </c>
      <c r="B67" s="156" t="s">
        <v>10</v>
      </c>
      <c r="C67" s="395">
        <f>40500+40500+40500</f>
        <v>121500</v>
      </c>
      <c r="D67" s="395"/>
      <c r="E67" s="395">
        <v>773763.52</v>
      </c>
      <c r="F67" s="395">
        <f>404965+281226+290455</f>
        <v>976646</v>
      </c>
      <c r="G67" s="395"/>
      <c r="H67" s="395"/>
      <c r="I67" s="395"/>
      <c r="J67" s="396">
        <f t="shared" si="8"/>
        <v>1871909.52</v>
      </c>
    </row>
    <row r="68" spans="1:10" x14ac:dyDescent="0.2">
      <c r="A68" s="96">
        <v>25600</v>
      </c>
      <c r="B68" s="156" t="s">
        <v>11</v>
      </c>
      <c r="C68" s="395">
        <f>40500+40500+40500+40500+40500</f>
        <v>202500</v>
      </c>
      <c r="D68" s="395"/>
      <c r="E68" s="395"/>
      <c r="F68" s="395">
        <f>297110</f>
        <v>297110</v>
      </c>
      <c r="G68" s="395"/>
      <c r="H68" s="395"/>
      <c r="I68" s="395"/>
      <c r="J68" s="396">
        <f t="shared" si="8"/>
        <v>499610</v>
      </c>
    </row>
    <row r="69" spans="1:10" x14ac:dyDescent="0.2">
      <c r="A69" s="96">
        <v>25610</v>
      </c>
      <c r="B69" s="156" t="s">
        <v>12</v>
      </c>
      <c r="C69" s="395"/>
      <c r="D69" s="395"/>
      <c r="E69" s="395"/>
      <c r="F69" s="395"/>
      <c r="G69" s="395"/>
      <c r="H69" s="395"/>
      <c r="I69" s="395"/>
      <c r="J69" s="396">
        <f t="shared" si="8"/>
        <v>0</v>
      </c>
    </row>
    <row r="70" spans="1:10" x14ac:dyDescent="0.2">
      <c r="A70" s="96">
        <v>25700</v>
      </c>
      <c r="B70" s="156" t="s">
        <v>13</v>
      </c>
      <c r="C70" s="395"/>
      <c r="D70" s="395">
        <f>20872+330786.8</f>
        <v>351658.8</v>
      </c>
      <c r="E70" s="395"/>
      <c r="F70" s="395"/>
      <c r="G70" s="395"/>
      <c r="H70" s="395"/>
      <c r="I70" s="395"/>
      <c r="J70" s="396">
        <f t="shared" si="8"/>
        <v>351658.8</v>
      </c>
    </row>
    <row r="71" spans="1:10" x14ac:dyDescent="0.2">
      <c r="A71" s="96">
        <v>25800</v>
      </c>
      <c r="B71" s="156" t="s">
        <v>14</v>
      </c>
      <c r="C71" s="395">
        <v>40500</v>
      </c>
      <c r="D71" s="395">
        <f>60000+60000+90000</f>
        <v>210000</v>
      </c>
      <c r="E71" s="395"/>
      <c r="F71" s="395">
        <v>593087</v>
      </c>
      <c r="G71" s="395"/>
      <c r="H71" s="395"/>
      <c r="I71" s="395"/>
      <c r="J71" s="396">
        <f t="shared" si="8"/>
        <v>843587</v>
      </c>
    </row>
    <row r="72" spans="1:10" x14ac:dyDescent="0.2">
      <c r="A72" s="96">
        <v>25810</v>
      </c>
      <c r="B72" s="156" t="s">
        <v>15</v>
      </c>
      <c r="C72" s="395"/>
      <c r="D72" s="395"/>
      <c r="E72" s="395"/>
      <c r="F72" s="395"/>
      <c r="G72" s="395"/>
      <c r="H72" s="395"/>
      <c r="I72" s="395"/>
      <c r="J72" s="396">
        <f t="shared" si="8"/>
        <v>0</v>
      </c>
    </row>
    <row r="73" spans="1:10" x14ac:dyDescent="0.2">
      <c r="A73" s="96">
        <v>25820</v>
      </c>
      <c r="B73" s="156" t="s">
        <v>16</v>
      </c>
      <c r="C73" s="395"/>
      <c r="D73" s="395"/>
      <c r="E73" s="395">
        <v>744809.61</v>
      </c>
      <c r="F73" s="395"/>
      <c r="G73" s="395"/>
      <c r="H73" s="395"/>
      <c r="I73" s="395"/>
      <c r="J73" s="396">
        <f t="shared" si="8"/>
        <v>744809.61</v>
      </c>
    </row>
    <row r="74" spans="1:10" ht="13.5" thickBot="1" x14ac:dyDescent="0.25">
      <c r="A74" s="97">
        <v>25830</v>
      </c>
      <c r="B74" s="294" t="s">
        <v>66</v>
      </c>
      <c r="C74" s="397"/>
      <c r="D74" s="397"/>
      <c r="E74" s="397"/>
      <c r="F74" s="397"/>
      <c r="G74" s="397"/>
      <c r="H74" s="397"/>
      <c r="I74" s="397"/>
      <c r="J74" s="398">
        <f t="shared" si="8"/>
        <v>0</v>
      </c>
    </row>
    <row r="75" spans="1:10" ht="13.5" thickTop="1" x14ac:dyDescent="0.2">
      <c r="A75" s="98">
        <v>25000</v>
      </c>
      <c r="B75" s="160" t="s">
        <v>17</v>
      </c>
      <c r="C75" s="207">
        <f>SUM(C57:C74)-C60-C61</f>
        <v>486000</v>
      </c>
      <c r="D75" s="207">
        <f t="shared" ref="D75:J75" si="9">SUM(D57:D74)-D60-D61</f>
        <v>1905825.47</v>
      </c>
      <c r="E75" s="207">
        <f t="shared" si="9"/>
        <v>1518573.13</v>
      </c>
      <c r="F75" s="207">
        <f t="shared" si="9"/>
        <v>3664000</v>
      </c>
      <c r="G75" s="207">
        <f t="shared" si="9"/>
        <v>0</v>
      </c>
      <c r="H75" s="207">
        <f t="shared" si="9"/>
        <v>0</v>
      </c>
      <c r="I75" s="207">
        <f t="shared" si="9"/>
        <v>0</v>
      </c>
      <c r="J75" s="207">
        <f t="shared" si="9"/>
        <v>7574398.5999999996</v>
      </c>
    </row>
    <row r="76" spans="1:10" x14ac:dyDescent="0.2">
      <c r="C76" s="8"/>
      <c r="D76" s="8"/>
      <c r="E76" s="8"/>
      <c r="F76" s="8"/>
      <c r="G76" s="8"/>
      <c r="H76" s="8"/>
      <c r="I76" s="8"/>
      <c r="J76" s="466">
        <f>SUM(C75:I75)</f>
        <v>7574398.5999999996</v>
      </c>
    </row>
    <row r="77" spans="1:10" x14ac:dyDescent="0.2">
      <c r="C77" s="8"/>
      <c r="D77" s="8"/>
      <c r="E77" s="8"/>
      <c r="F77" s="8"/>
      <c r="G77" s="8"/>
      <c r="H77" s="8"/>
      <c r="I77" s="8"/>
      <c r="J77" s="8"/>
    </row>
    <row r="78" spans="1:10" ht="15" x14ac:dyDescent="0.25">
      <c r="A78" s="100" t="s">
        <v>247</v>
      </c>
      <c r="C78" s="8"/>
      <c r="D78" s="8"/>
      <c r="E78" s="8"/>
      <c r="F78" s="8"/>
      <c r="G78" s="8"/>
      <c r="H78" s="8"/>
      <c r="I78" s="8"/>
      <c r="J78" s="8"/>
    </row>
    <row r="79" spans="1:10" x14ac:dyDescent="0.2">
      <c r="A79" s="1428" t="s">
        <v>0</v>
      </c>
      <c r="B79" s="1430" t="s">
        <v>1</v>
      </c>
      <c r="C79" s="1430" t="s">
        <v>197</v>
      </c>
      <c r="D79" s="1431"/>
      <c r="E79" s="1431"/>
      <c r="F79" s="1431"/>
      <c r="G79" s="1431"/>
      <c r="H79" s="1431"/>
      <c r="I79" s="1431"/>
      <c r="J79" s="1432"/>
    </row>
    <row r="80" spans="1:10" x14ac:dyDescent="0.2">
      <c r="A80" s="1428"/>
      <c r="B80" s="1430"/>
      <c r="C80" s="98">
        <v>1184</v>
      </c>
      <c r="D80" s="98">
        <v>1240</v>
      </c>
      <c r="E80" s="98">
        <v>1330</v>
      </c>
      <c r="F80" s="98">
        <v>1610</v>
      </c>
      <c r="G80" s="98"/>
      <c r="H80" s="98"/>
      <c r="I80" s="98"/>
      <c r="J80" s="380" t="s">
        <v>17</v>
      </c>
    </row>
    <row r="81" spans="1:10" ht="13.5" thickBot="1" x14ac:dyDescent="0.25">
      <c r="A81" s="1429"/>
      <c r="B81" s="1412"/>
      <c r="C81" s="206" t="s">
        <v>204</v>
      </c>
      <c r="D81" s="206" t="s">
        <v>354</v>
      </c>
      <c r="E81" s="206" t="s">
        <v>206</v>
      </c>
      <c r="F81" s="206" t="s">
        <v>205</v>
      </c>
      <c r="G81" s="206"/>
      <c r="H81" s="206"/>
      <c r="I81" s="206"/>
      <c r="J81" s="381" t="s">
        <v>105</v>
      </c>
    </row>
    <row r="82" spans="1:10" ht="13.5" thickTop="1" x14ac:dyDescent="0.2">
      <c r="A82" s="95">
        <v>25100</v>
      </c>
      <c r="B82" s="155" t="s">
        <v>2</v>
      </c>
      <c r="C82" s="393"/>
      <c r="D82" s="393">
        <v>90000</v>
      </c>
      <c r="E82" s="393"/>
      <c r="F82" s="393">
        <f>560868+222310</f>
        <v>783178</v>
      </c>
      <c r="G82" s="393"/>
      <c r="H82" s="393"/>
      <c r="I82" s="393"/>
      <c r="J82" s="394">
        <f>SUM(C82:I82)</f>
        <v>873178</v>
      </c>
    </row>
    <row r="83" spans="1:10" x14ac:dyDescent="0.2">
      <c r="A83" s="96">
        <v>25150</v>
      </c>
      <c r="B83" s="156" t="s">
        <v>3</v>
      </c>
      <c r="C83" s="395">
        <v>66985</v>
      </c>
      <c r="D83" s="395">
        <v>109702</v>
      </c>
      <c r="E83" s="395"/>
      <c r="F83" s="395"/>
      <c r="G83" s="395"/>
      <c r="H83" s="395"/>
      <c r="I83" s="395"/>
      <c r="J83" s="396">
        <f>SUM(C83:I83)</f>
        <v>176687</v>
      </c>
    </row>
    <row r="84" spans="1:10" x14ac:dyDescent="0.2">
      <c r="A84" s="96">
        <v>25200</v>
      </c>
      <c r="B84" s="156" t="s">
        <v>4</v>
      </c>
      <c r="C84" s="395"/>
      <c r="D84" s="395"/>
      <c r="E84" s="395"/>
      <c r="F84" s="395">
        <v>201410</v>
      </c>
      <c r="G84" s="395"/>
      <c r="H84" s="395"/>
      <c r="I84" s="395"/>
      <c r="J84" s="396">
        <f t="shared" ref="J84:J99" si="10">SUM(C84:I84)</f>
        <v>201410</v>
      </c>
    </row>
    <row r="85" spans="1:10" s="400" customFormat="1" hidden="1" x14ac:dyDescent="0.2">
      <c r="A85" s="220"/>
      <c r="B85" s="217" t="s">
        <v>117</v>
      </c>
      <c r="C85" s="399"/>
      <c r="D85" s="399"/>
      <c r="E85" s="399"/>
      <c r="F85" s="399"/>
      <c r="G85" s="399"/>
      <c r="H85" s="399"/>
      <c r="I85" s="399"/>
      <c r="J85" s="399">
        <f t="shared" si="10"/>
        <v>0</v>
      </c>
    </row>
    <row r="86" spans="1:10" s="400" customFormat="1" hidden="1" x14ac:dyDescent="0.2">
      <c r="A86" s="220"/>
      <c r="B86" s="217" t="s">
        <v>118</v>
      </c>
      <c r="C86" s="399"/>
      <c r="D86" s="399"/>
      <c r="E86" s="399"/>
      <c r="F86" s="399">
        <v>201410</v>
      </c>
      <c r="G86" s="399"/>
      <c r="H86" s="399"/>
      <c r="I86" s="399"/>
      <c r="J86" s="399">
        <f t="shared" si="10"/>
        <v>201410</v>
      </c>
    </row>
    <row r="87" spans="1:10" x14ac:dyDescent="0.2">
      <c r="A87" s="96">
        <v>25300</v>
      </c>
      <c r="B87" s="156" t="s">
        <v>5</v>
      </c>
      <c r="C87" s="395"/>
      <c r="D87" s="395">
        <f>90000+30000</f>
        <v>120000</v>
      </c>
      <c r="E87" s="395">
        <v>742949.6</v>
      </c>
      <c r="F87" s="395">
        <f>148390+606078</f>
        <v>754468</v>
      </c>
      <c r="G87" s="395"/>
      <c r="H87" s="395"/>
      <c r="I87" s="395"/>
      <c r="J87" s="396">
        <f t="shared" si="10"/>
        <v>1617417.6</v>
      </c>
    </row>
    <row r="88" spans="1:10" x14ac:dyDescent="0.2">
      <c r="A88" s="96">
        <v>25350</v>
      </c>
      <c r="B88" s="156" t="s">
        <v>6</v>
      </c>
      <c r="C88" s="395">
        <v>124700</v>
      </c>
      <c r="D88" s="395"/>
      <c r="E88" s="395"/>
      <c r="F88" s="395">
        <f>201080+376068</f>
        <v>577148</v>
      </c>
      <c r="G88" s="395"/>
      <c r="H88" s="395"/>
      <c r="I88" s="395"/>
      <c r="J88" s="396">
        <f t="shared" si="10"/>
        <v>701848</v>
      </c>
    </row>
    <row r="89" spans="1:10" x14ac:dyDescent="0.2">
      <c r="A89" s="96">
        <v>25351</v>
      </c>
      <c r="B89" s="156" t="s">
        <v>7</v>
      </c>
      <c r="C89" s="395"/>
      <c r="D89" s="395">
        <v>101748.97</v>
      </c>
      <c r="E89" s="395"/>
      <c r="F89" s="395"/>
      <c r="G89" s="395"/>
      <c r="H89" s="395"/>
      <c r="I89" s="395"/>
      <c r="J89" s="396">
        <f t="shared" si="10"/>
        <v>101748.97</v>
      </c>
    </row>
    <row r="90" spans="1:10" x14ac:dyDescent="0.2">
      <c r="A90" s="96">
        <v>25352</v>
      </c>
      <c r="B90" s="156" t="s">
        <v>8</v>
      </c>
      <c r="C90" s="395"/>
      <c r="D90" s="395"/>
      <c r="E90" s="395"/>
      <c r="F90" s="395"/>
      <c r="G90" s="395"/>
      <c r="H90" s="395"/>
      <c r="I90" s="395"/>
      <c r="J90" s="396">
        <f t="shared" si="10"/>
        <v>0</v>
      </c>
    </row>
    <row r="91" spans="1:10" x14ac:dyDescent="0.2">
      <c r="A91" s="96">
        <v>25400</v>
      </c>
      <c r="B91" s="156" t="s">
        <v>9</v>
      </c>
      <c r="C91" s="395">
        <v>62760</v>
      </c>
      <c r="D91" s="395"/>
      <c r="E91" s="395"/>
      <c r="F91" s="395">
        <v>222530</v>
      </c>
      <c r="G91" s="395"/>
      <c r="H91" s="395"/>
      <c r="I91" s="395"/>
      <c r="J91" s="396">
        <f t="shared" si="10"/>
        <v>285290</v>
      </c>
    </row>
    <row r="92" spans="1:10" x14ac:dyDescent="0.2">
      <c r="A92" s="96">
        <v>25500</v>
      </c>
      <c r="B92" s="156" t="s">
        <v>10</v>
      </c>
      <c r="C92" s="395">
        <v>217390</v>
      </c>
      <c r="D92" s="395"/>
      <c r="E92" s="395"/>
      <c r="F92" s="395"/>
      <c r="G92" s="395"/>
      <c r="H92" s="395"/>
      <c r="I92" s="395"/>
      <c r="J92" s="396">
        <f t="shared" si="10"/>
        <v>217390</v>
      </c>
    </row>
    <row r="93" spans="1:10" x14ac:dyDescent="0.2">
      <c r="A93" s="96">
        <v>25600</v>
      </c>
      <c r="B93" s="156" t="s">
        <v>11</v>
      </c>
      <c r="C93" s="395">
        <v>221458</v>
      </c>
      <c r="D93" s="395"/>
      <c r="E93" s="395"/>
      <c r="F93" s="395">
        <v>179850</v>
      </c>
      <c r="G93" s="395"/>
      <c r="H93" s="395"/>
      <c r="I93" s="395"/>
      <c r="J93" s="396">
        <f t="shared" si="10"/>
        <v>401308</v>
      </c>
    </row>
    <row r="94" spans="1:10" x14ac:dyDescent="0.2">
      <c r="A94" s="96">
        <v>25610</v>
      </c>
      <c r="B94" s="156" t="s">
        <v>12</v>
      </c>
      <c r="C94" s="395"/>
      <c r="D94" s="395"/>
      <c r="E94" s="395"/>
      <c r="F94" s="395"/>
      <c r="G94" s="395"/>
      <c r="H94" s="395"/>
      <c r="I94" s="395"/>
      <c r="J94" s="396">
        <f t="shared" si="10"/>
        <v>0</v>
      </c>
    </row>
    <row r="95" spans="1:10" x14ac:dyDescent="0.2">
      <c r="A95" s="96">
        <v>25700</v>
      </c>
      <c r="B95" s="156" t="s">
        <v>13</v>
      </c>
      <c r="C95" s="395"/>
      <c r="D95" s="395">
        <v>300340.3</v>
      </c>
      <c r="E95" s="395"/>
      <c r="F95" s="395">
        <f>343430.66+280500</f>
        <v>623930.65999999992</v>
      </c>
      <c r="G95" s="395"/>
      <c r="H95" s="395"/>
      <c r="I95" s="395"/>
      <c r="J95" s="396">
        <f t="shared" si="10"/>
        <v>924270.96</v>
      </c>
    </row>
    <row r="96" spans="1:10" x14ac:dyDescent="0.2">
      <c r="A96" s="96">
        <v>25800</v>
      </c>
      <c r="B96" s="156" t="s">
        <v>14</v>
      </c>
      <c r="C96" s="395"/>
      <c r="D96" s="395">
        <f>32800+65600+32800+90000+90000+90000</f>
        <v>401200</v>
      </c>
      <c r="E96" s="395"/>
      <c r="F96" s="395">
        <f>303160+508816</f>
        <v>811976</v>
      </c>
      <c r="G96" s="395"/>
      <c r="H96" s="395"/>
      <c r="I96" s="395"/>
      <c r="J96" s="396">
        <f t="shared" si="10"/>
        <v>1213176</v>
      </c>
    </row>
    <row r="97" spans="1:10" x14ac:dyDescent="0.2">
      <c r="A97" s="96">
        <v>25810</v>
      </c>
      <c r="B97" s="156" t="s">
        <v>15</v>
      </c>
      <c r="C97" s="395"/>
      <c r="D97" s="395"/>
      <c r="E97" s="395"/>
      <c r="F97" s="395"/>
      <c r="G97" s="395"/>
      <c r="H97" s="395"/>
      <c r="I97" s="395"/>
      <c r="J97" s="396">
        <f t="shared" si="10"/>
        <v>0</v>
      </c>
    </row>
    <row r="98" spans="1:10" x14ac:dyDescent="0.2">
      <c r="A98" s="96">
        <v>25820</v>
      </c>
      <c r="B98" s="156" t="s">
        <v>16</v>
      </c>
      <c r="C98" s="395"/>
      <c r="D98" s="395"/>
      <c r="E98" s="395"/>
      <c r="F98" s="395"/>
      <c r="G98" s="395"/>
      <c r="H98" s="395"/>
      <c r="I98" s="395"/>
      <c r="J98" s="396">
        <f t="shared" si="10"/>
        <v>0</v>
      </c>
    </row>
    <row r="99" spans="1:10" ht="13.5" thickBot="1" x14ac:dyDescent="0.25">
      <c r="A99" s="97">
        <v>25830</v>
      </c>
      <c r="B99" s="294" t="s">
        <v>66</v>
      </c>
      <c r="C99" s="397">
        <v>1970280</v>
      </c>
      <c r="D99" s="397"/>
      <c r="E99" s="397"/>
      <c r="F99" s="397">
        <v>546590</v>
      </c>
      <c r="G99" s="397"/>
      <c r="H99" s="397"/>
      <c r="I99" s="397"/>
      <c r="J99" s="398">
        <f t="shared" si="10"/>
        <v>2516870</v>
      </c>
    </row>
    <row r="100" spans="1:10" ht="13.5" thickTop="1" x14ac:dyDescent="0.2">
      <c r="A100" s="98">
        <v>25000</v>
      </c>
      <c r="B100" s="160" t="s">
        <v>17</v>
      </c>
      <c r="C100" s="207">
        <f>SUM(C82:C99)-C85-C86</f>
        <v>2663573</v>
      </c>
      <c r="D100" s="207">
        <f t="shared" ref="D100:J100" si="11">SUM(D82:D99)-D85-D86</f>
        <v>1122991.27</v>
      </c>
      <c r="E100" s="207">
        <f t="shared" si="11"/>
        <v>742949.6</v>
      </c>
      <c r="F100" s="207">
        <f t="shared" si="11"/>
        <v>4701080.66</v>
      </c>
      <c r="G100" s="207">
        <f t="shared" si="11"/>
        <v>0</v>
      </c>
      <c r="H100" s="207">
        <f t="shared" si="11"/>
        <v>0</v>
      </c>
      <c r="I100" s="207">
        <f t="shared" si="11"/>
        <v>0</v>
      </c>
      <c r="J100" s="207">
        <f t="shared" si="11"/>
        <v>9230594.5300000012</v>
      </c>
    </row>
    <row r="101" spans="1:10" x14ac:dyDescent="0.2">
      <c r="C101" s="8"/>
      <c r="D101" s="8"/>
      <c r="E101" s="8"/>
      <c r="F101" s="8"/>
      <c r="G101" s="8"/>
      <c r="H101" s="8"/>
      <c r="I101" s="8"/>
      <c r="J101" s="466">
        <f>SUM(C100:I100)</f>
        <v>9230594.5300000012</v>
      </c>
    </row>
    <row r="102" spans="1:10" x14ac:dyDescent="0.2">
      <c r="C102" s="8"/>
      <c r="D102" s="8"/>
      <c r="E102" s="8"/>
      <c r="F102" s="8"/>
      <c r="G102" s="8"/>
      <c r="H102" s="8"/>
      <c r="I102" s="8"/>
      <c r="J102" s="8"/>
    </row>
  </sheetData>
  <mergeCells count="12">
    <mergeCell ref="A54:A56"/>
    <mergeCell ref="B54:B56"/>
    <mergeCell ref="C54:J54"/>
    <mergeCell ref="A79:A81"/>
    <mergeCell ref="B79:B81"/>
    <mergeCell ref="C79:J79"/>
    <mergeCell ref="A4:A6"/>
    <mergeCell ref="B4:B6"/>
    <mergeCell ref="C4:J4"/>
    <mergeCell ref="A29:A31"/>
    <mergeCell ref="B29:B31"/>
    <mergeCell ref="C29:J29"/>
  </mergeCells>
  <pageMargins left="0.7" right="0.7" top="0.75" bottom="0.65" header="0.3" footer="0.25"/>
  <pageSetup paperSize="9" scale="66" fitToHeight="0" orientation="portrait" r:id="rId1"/>
  <headerFooter>
    <oddFooter>&amp;C&amp;8&amp;A&amp;R&amp;8&amp;F</oddFooter>
  </headerFooter>
  <rowBreaks count="1" manualBreakCount="1">
    <brk id="7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23</vt:i4>
      </vt:variant>
    </vt:vector>
  </HeadingPairs>
  <TitlesOfParts>
    <vt:vector size="23" baseType="lpstr">
      <vt:lpstr>Rozdělení financí FF 2023</vt:lpstr>
      <vt:lpstr>tab A-2023</vt:lpstr>
      <vt:lpstr>Rozpis P2 a děkanátu 2023</vt:lpstr>
      <vt:lpstr>Rozdělení financí FF2023 detail</vt:lpstr>
      <vt:lpstr>Zápočty a Zk</vt:lpstr>
      <vt:lpstr>VŠKP</vt:lpstr>
      <vt:lpstr>Počty studentů</vt:lpstr>
      <vt:lpstr>Granty I</vt:lpstr>
      <vt:lpstr>Granty II</vt:lpstr>
      <vt:lpstr>Výstupy do RIV</vt:lpstr>
      <vt:lpstr>Modul 1</vt:lpstr>
      <vt:lpstr>Modul 2</vt:lpstr>
      <vt:lpstr>Modul 3</vt:lpstr>
      <vt:lpstr>Mobility</vt:lpstr>
      <vt:lpstr>Garantovana_mista_2023</vt:lpstr>
      <vt:lpstr>Garanti</vt:lpstr>
      <vt:lpstr>Opravy 2023</vt:lpstr>
      <vt:lpstr>Provoz 2023</vt:lpstr>
      <vt:lpstr>FPP k 31-12-2022</vt:lpstr>
      <vt:lpstr>CELKEM 2023</vt:lpstr>
      <vt:lpstr>CELKEM 2022</vt:lpstr>
      <vt:lpstr>CELKEM 2021</vt:lpstr>
      <vt:lpstr>Celkem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Strungova</dc:creator>
  <cp:lastModifiedBy>Strungova</cp:lastModifiedBy>
  <cp:lastPrinted>2023-05-20T14:48:35Z</cp:lastPrinted>
  <dcterms:created xsi:type="dcterms:W3CDTF">2015-03-11T20:13:33Z</dcterms:created>
  <dcterms:modified xsi:type="dcterms:W3CDTF">2023-05-28T18:23:40Z</dcterms:modified>
</cp:coreProperties>
</file>