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05" yWindow="45" windowWidth="12510" windowHeight="11835" tabRatio="916" activeTab="0"/>
  </bookViews>
  <sheets>
    <sheet name="popis zdrojů OU VZ-2014" sheetId="1" r:id="rId1"/>
    <sheet name="č.1 1100-VZ-2014" sheetId="2" r:id="rId2"/>
    <sheet name="č.2 1100-1650-podle kateder" sheetId="3" r:id="rId3"/>
    <sheet name="č.3 1610-VZ-2014" sheetId="4" r:id="rId4"/>
    <sheet name="č.4 1190-VZ-2014" sheetId="5" r:id="rId5"/>
    <sheet name="č.5 1101-VZ-2014" sheetId="6" r:id="rId6"/>
    <sheet name="č.6 1102-VZ-2014" sheetId="7" r:id="rId7"/>
    <sheet name="č.7 1680-1120,30-1240-VZ-2014" sheetId="8" r:id="rId8"/>
    <sheet name="č.8 1350-1355-VZ-2014" sheetId="9" r:id="rId9"/>
    <sheet name="č.9 1420-1800-9100-VZ-2014" sheetId="10" r:id="rId10"/>
    <sheet name="č.10 výdaje a příjmy 2014" sheetId="11" r:id="rId11"/>
  </sheets>
  <externalReferences>
    <externalReference r:id="rId14"/>
    <externalReference r:id="rId15"/>
    <externalReference r:id="rId16"/>
    <externalReference r:id="rId17"/>
  </externalReferences>
  <definedNames/>
  <calcPr fullCalcOnLoad="1"/>
</workbook>
</file>

<file path=xl/sharedStrings.xml><?xml version="1.0" encoding="utf-8"?>
<sst xmlns="http://schemas.openxmlformats.org/spreadsheetml/2006/main" count="687" uniqueCount="428">
  <si>
    <t>fakulta</t>
  </si>
  <si>
    <t>náklady</t>
  </si>
  <si>
    <t>výnosy</t>
  </si>
  <si>
    <t>celkem</t>
  </si>
  <si>
    <t>tis. Kč</t>
  </si>
  <si>
    <t>Celkem</t>
  </si>
  <si>
    <t>číslo sloupce</t>
  </si>
  <si>
    <t>(1)</t>
  </si>
  <si>
    <t>(2)</t>
  </si>
  <si>
    <t>(3)</t>
  </si>
  <si>
    <t>součty sloupců</t>
  </si>
  <si>
    <t>číslo</t>
  </si>
  <si>
    <t>popis</t>
  </si>
  <si>
    <t>Zdroj 1100</t>
  </si>
  <si>
    <t>Zdroj 1101</t>
  </si>
  <si>
    <t xml:space="preserve">HV </t>
  </si>
  <si>
    <t>zdroj 1100</t>
  </si>
  <si>
    <t>= (1)-(2)</t>
  </si>
  <si>
    <t>zdroj 1101</t>
  </si>
  <si>
    <t>Zdroj 1190</t>
  </si>
  <si>
    <t>zdroj 1190</t>
  </si>
  <si>
    <t>HV</t>
  </si>
  <si>
    <t>tabulka</t>
  </si>
  <si>
    <t>Hospodářský výsledek</t>
  </si>
  <si>
    <t>Přílohy:</t>
  </si>
  <si>
    <t>Zdroj 1102</t>
  </si>
  <si>
    <t>zdroj 1102</t>
  </si>
  <si>
    <t xml:space="preserve"> dotace</t>
  </si>
  <si>
    <t>z toho</t>
  </si>
  <si>
    <t>z (1)</t>
  </si>
  <si>
    <t>1A</t>
  </si>
  <si>
    <t>Novela zákona č.111/1998 Sb., o vysokých školách, platná od 1. 1. 2006 (dále jen "zákon"), umožňuje VVŠ</t>
  </si>
  <si>
    <t xml:space="preserve">poskytovat mimo dotace také příspěvek. Případnou nevyčerpanou dotaci či příspěvek lze převést do fondu - </t>
  </si>
  <si>
    <t xml:space="preserve"> - fond provozních prostředků (FPP), fond reprodukce investičního majetku (FRIM), fond účelově určených</t>
  </si>
  <si>
    <t>prostředků (FÚUP). Tuto možnost stanoví poskytovatel dotace v souladu se zákonem. Použití těchto prostředků</t>
  </si>
  <si>
    <t>v dalších letech se pak řídí pravidly stanovenými v souladu se zákonem, rozhodnutími a vnitřními předpisy VVŠ.</t>
  </si>
  <si>
    <t>suma</t>
  </si>
  <si>
    <t>fakulta - pracoviště</t>
  </si>
  <si>
    <t>ostatní služby</t>
  </si>
  <si>
    <t>hlavní činnost</t>
  </si>
  <si>
    <t>haléřové vyrovnání</t>
  </si>
  <si>
    <t>648/800</t>
  </si>
  <si>
    <t>stipendia PGS</t>
  </si>
  <si>
    <t>konference</t>
  </si>
  <si>
    <t>Zdroj 1610</t>
  </si>
  <si>
    <t>Hospodářský výsledek navrhujeme po zdanění a schválení zprávy o hospodaření OU převést do FRIMu.</t>
  </si>
  <si>
    <t>zdroj 1610</t>
  </si>
  <si>
    <t xml:space="preserve">Zdroj </t>
  </si>
  <si>
    <t xml:space="preserve">zdroj </t>
  </si>
  <si>
    <t>CŽV s DPH</t>
  </si>
  <si>
    <t>GAČR</t>
  </si>
  <si>
    <t>přiděleno</t>
  </si>
  <si>
    <t>čerpáno  v tis. Kč</t>
  </si>
  <si>
    <t>1100/0001</t>
  </si>
  <si>
    <t>pracoviště</t>
  </si>
  <si>
    <t>zdroj/zakázka</t>
  </si>
  <si>
    <t>provoz</t>
  </si>
  <si>
    <t>knihy</t>
  </si>
  <si>
    <t>mzdy</t>
  </si>
  <si>
    <t>s.0005</t>
  </si>
  <si>
    <t>filozofie</t>
  </si>
  <si>
    <t>rusistika</t>
  </si>
  <si>
    <t>polonistika</t>
  </si>
  <si>
    <t>česká literatura</t>
  </si>
  <si>
    <t>dějiny umění</t>
  </si>
  <si>
    <t>francouzština</t>
  </si>
  <si>
    <t>španělština</t>
  </si>
  <si>
    <t>germanistika</t>
  </si>
  <si>
    <t>historie</t>
  </si>
  <si>
    <t>latina</t>
  </si>
  <si>
    <t>Přehled o pohybech na zdroji 1100.</t>
  </si>
  <si>
    <t>ostatní zdroje financování (1190) - (možno tvořit HV)</t>
  </si>
  <si>
    <t>Další příspěvky</t>
  </si>
  <si>
    <t>ostatní zdroje financování (1101) - (možno tvořit HV)</t>
  </si>
  <si>
    <t>ostatní zdroje financování (1102) - (možno tvořit HV)</t>
  </si>
  <si>
    <t>Ostatní zdroje</t>
  </si>
  <si>
    <t xml:space="preserve"> Kč</t>
  </si>
  <si>
    <t>zakázka</t>
  </si>
  <si>
    <t>CŽV bez DPH</t>
  </si>
  <si>
    <t>příjmy</t>
  </si>
  <si>
    <t>stipen.PGS</t>
  </si>
  <si>
    <t>sponzoři</t>
  </si>
  <si>
    <t>doplňkov.č.</t>
  </si>
  <si>
    <t>SÚ</t>
  </si>
  <si>
    <t>AÚ</t>
  </si>
  <si>
    <t>011</t>
  </si>
  <si>
    <t>012</t>
  </si>
  <si>
    <t>021</t>
  </si>
  <si>
    <t>022</t>
  </si>
  <si>
    <t>031</t>
  </si>
  <si>
    <t>041</t>
  </si>
  <si>
    <t>051</t>
  </si>
  <si>
    <t>052</t>
  </si>
  <si>
    <t>061</t>
  </si>
  <si>
    <t>062</t>
  </si>
  <si>
    <t>091</t>
  </si>
  <si>
    <t>151</t>
  </si>
  <si>
    <t>001</t>
  </si>
  <si>
    <t>201</t>
  </si>
  <si>
    <t>071</t>
  </si>
  <si>
    <t>111</t>
  </si>
  <si>
    <t>131</t>
  </si>
  <si>
    <t>161</t>
  </si>
  <si>
    <t>911</t>
  </si>
  <si>
    <t>921</t>
  </si>
  <si>
    <t>102</t>
  </si>
  <si>
    <t>800</t>
  </si>
  <si>
    <t>500</t>
  </si>
  <si>
    <t>100</t>
  </si>
  <si>
    <t>Po zdanění OU bude provedeno rozdělení na subjekty OU v souladu se schválenou směrnici .</t>
  </si>
  <si>
    <t>Tabulka č. 10</t>
  </si>
  <si>
    <t>spotřební materiál</t>
  </si>
  <si>
    <t>opravy budov</t>
  </si>
  <si>
    <t>údržba přístrojů</t>
  </si>
  <si>
    <t>cestovné tuzemské</t>
  </si>
  <si>
    <t>pohoštění a dary</t>
  </si>
  <si>
    <t>nájemné</t>
  </si>
  <si>
    <t>programy software</t>
  </si>
  <si>
    <t>telefonní poplatky</t>
  </si>
  <si>
    <t>poštovné</t>
  </si>
  <si>
    <t>konferenční poplatky</t>
  </si>
  <si>
    <t>tisk</t>
  </si>
  <si>
    <t>externí úklid</t>
  </si>
  <si>
    <t>mzdové náklady</t>
  </si>
  <si>
    <t>OON</t>
  </si>
  <si>
    <t>zdravotní pojištění</t>
  </si>
  <si>
    <t>sociální pojištění</t>
  </si>
  <si>
    <t>stravenky</t>
  </si>
  <si>
    <t>poplatky</t>
  </si>
  <si>
    <t>stipendia</t>
  </si>
  <si>
    <t>zahraniční studenti</t>
  </si>
  <si>
    <t>pojištění Kooperativa</t>
  </si>
  <si>
    <t>DPH na vstupu</t>
  </si>
  <si>
    <t>režie</t>
  </si>
  <si>
    <t>spoluřešitelé náklady</t>
  </si>
  <si>
    <t>cestovné studentů</t>
  </si>
  <si>
    <t>cestovné zahraniční</t>
  </si>
  <si>
    <t>Centrum HaSD</t>
  </si>
  <si>
    <t>200</t>
  </si>
  <si>
    <t>068</t>
  </si>
  <si>
    <t>spot.mat. -do 500,-Kč</t>
  </si>
  <si>
    <t>knihy a časopisy daň.n.</t>
  </si>
  <si>
    <t>cestovné zahr.hostů</t>
  </si>
  <si>
    <t>ostatní služby daň.neuz.</t>
  </si>
  <si>
    <t>konf.popl.-daň. Neuzn.</t>
  </si>
  <si>
    <t>nemocenská</t>
  </si>
  <si>
    <t>daně</t>
  </si>
  <si>
    <t>poplatky-daň.neuznat.</t>
  </si>
  <si>
    <t>prospěch.stipendium</t>
  </si>
  <si>
    <t>sociál.stipendium</t>
  </si>
  <si>
    <t>pojištění osob</t>
  </si>
  <si>
    <t>poskytnuté příspěvky</t>
  </si>
  <si>
    <t>tržby za vlastní výrobky</t>
  </si>
  <si>
    <t>tržby z prodeje služeb</t>
  </si>
  <si>
    <t>poplatky za příj.řízení</t>
  </si>
  <si>
    <t>tržby z nájmů</t>
  </si>
  <si>
    <t>tržby z prod.služ.-sleva</t>
  </si>
  <si>
    <t>tržby za placené stud.</t>
  </si>
  <si>
    <t>tržby -DČ</t>
  </si>
  <si>
    <t>tržby za prodané zboží</t>
  </si>
  <si>
    <t>čerpání FPP</t>
  </si>
  <si>
    <t>čerpání UUP</t>
  </si>
  <si>
    <t>jiné ostatní výnosy</t>
  </si>
  <si>
    <t>přijaté příspěvky-sponz.</t>
  </si>
  <si>
    <t>příspěvek MŠ fakultě</t>
  </si>
  <si>
    <t>dotace-Leon. Phare</t>
  </si>
  <si>
    <t>dotace-výzkum</t>
  </si>
  <si>
    <t>dotace-GAČR</t>
  </si>
  <si>
    <t>v tis.Kč</t>
  </si>
  <si>
    <t>v tis. Kč</t>
  </si>
  <si>
    <t>český jazyk</t>
  </si>
  <si>
    <t>1100</t>
  </si>
  <si>
    <t>z toho stipendijní fond</t>
  </si>
  <si>
    <t>691/011</t>
  </si>
  <si>
    <t>FPP</t>
  </si>
  <si>
    <t>Obsahem tohoto přehledu jsou údaje o čerpání příspěvků, dotací a ostatních příjmů FF OU,</t>
  </si>
  <si>
    <r>
      <t xml:space="preserve">Příspěvek </t>
    </r>
    <r>
      <rPr>
        <sz val="10"/>
        <rFont val="Arial CE"/>
        <family val="2"/>
      </rPr>
      <t>účtovaný na zdroji 1100 (tabulka č.1)</t>
    </r>
  </si>
  <si>
    <t>Všechny prostředky byly vyčerpány. Podrobnější rozpis v tabulce č.7.</t>
  </si>
  <si>
    <t>příspěvek MŠMT zdroj 1100 (hlavní činnost, stipendijní fond)</t>
  </si>
  <si>
    <t>Projekty SGS vyčerpány dle schválených plánů.</t>
  </si>
  <si>
    <t>cestov</t>
  </si>
  <si>
    <t>1650/6501</t>
  </si>
  <si>
    <t>příspěvek MŠMT zdroj 1610 (specifický vysokoškolský výzkum -SGS)</t>
  </si>
  <si>
    <t>dotace</t>
  </si>
  <si>
    <t>stipendijní fond</t>
  </si>
  <si>
    <t>výnosy celkem</t>
  </si>
  <si>
    <t>náklady celkem</t>
  </si>
  <si>
    <t>1650/6509</t>
  </si>
  <si>
    <t>1650/6510</t>
  </si>
  <si>
    <t>1650/6511</t>
  </si>
  <si>
    <t>Specifický vysokoškolský výzkum - SGS</t>
  </si>
  <si>
    <t>Tabulka č. 3.</t>
  </si>
  <si>
    <t>čerpání příspěvků  ze zdrojů 1100 a 1650 dle pracovišť</t>
  </si>
  <si>
    <t>Projednáno Akademickým senátem FF dne             ,      . bod zápisu z jednání AS.</t>
  </si>
  <si>
    <t>NAKI</t>
  </si>
  <si>
    <t>kraj</t>
  </si>
  <si>
    <t>OPVK</t>
  </si>
  <si>
    <t>171</t>
  </si>
  <si>
    <t>výzkumné stipendium</t>
  </si>
  <si>
    <t>401</t>
  </si>
  <si>
    <t>odpisy dlouhod.majet.</t>
  </si>
  <si>
    <t>manka-daňově uznat.</t>
  </si>
  <si>
    <t>Roz.proj."I"</t>
  </si>
  <si>
    <t>U3V"F"</t>
  </si>
  <si>
    <t>OPVK-hl.ře,</t>
  </si>
  <si>
    <t>035</t>
  </si>
  <si>
    <t>101</t>
  </si>
  <si>
    <t>065</t>
  </si>
  <si>
    <t>941</t>
  </si>
  <si>
    <t>služby</t>
  </si>
  <si>
    <t>prostř.</t>
  </si>
  <si>
    <t>psychologie</t>
  </si>
  <si>
    <t>Centrum -CVOJ</t>
  </si>
  <si>
    <t xml:space="preserve">ústav -ÚRS </t>
  </si>
  <si>
    <t>na provozní prostředky (materiál, DHM, ostatní) ), knihy, cestovné, služby, mzdy a stravenky.</t>
  </si>
  <si>
    <t>V této tabulce jsou výnosy a náklady fakulty ze zdroje 1190 členěny na zakázky.</t>
  </si>
  <si>
    <t xml:space="preserve">prof. PhDr. Aleš Zářický, Ph.D., děkan FF </t>
  </si>
  <si>
    <t>Výdaje a příjmy podle syntetického a analytického účtu, hospodářský výsledek</t>
  </si>
  <si>
    <t>čerpání ze stipend.fon.</t>
  </si>
  <si>
    <t>ostatní provoz. náklady</t>
  </si>
  <si>
    <t>Podklad výsledovka VZ 25-1610</t>
  </si>
  <si>
    <t>Zakázky celoživotního vzdělávání akreditované osvobozené od DPH uskutečňované v roce 2013.</t>
  </si>
  <si>
    <t>zdroj</t>
  </si>
  <si>
    <t>stip.zah.st.</t>
  </si>
  <si>
    <t>penále,pokuty daň.neu</t>
  </si>
  <si>
    <t>Inst.pod.výz. IP</t>
  </si>
  <si>
    <t>sp.výzk. SGS</t>
  </si>
  <si>
    <t>převod na R-VaVpI</t>
  </si>
  <si>
    <t>1100-převod na Knihovnu</t>
  </si>
  <si>
    <t>1100-převod na CIT</t>
  </si>
  <si>
    <t>převod na R-priorityII</t>
  </si>
  <si>
    <t>1100-pedagogické praxe</t>
  </si>
  <si>
    <t>převod na R</t>
  </si>
  <si>
    <t>převod příspěvku rektorát</t>
  </si>
  <si>
    <t>649/011-401</t>
  </si>
  <si>
    <t>jiné ostatní výnosy -haléřové vyrovnání, úhrada za škody,DPH</t>
  </si>
  <si>
    <t>sociologie</t>
  </si>
  <si>
    <t>Vivárium</t>
  </si>
  <si>
    <t>priority 2 (služby zajišťované rektorátem).</t>
  </si>
  <si>
    <t>Podrobný rozpis uveden v tabulkách č.4, č.5, č.6, č.9.</t>
  </si>
  <si>
    <t>Ostatní zdroje vytváří fakulta svou činností. Zdroj 1190  (tab.č.4) tvoří příjmy za přihlášky na fakultu, promoce, dlouhodobé nájmy,</t>
  </si>
  <si>
    <t>prodej vydaných publikací. Zdroj 1101  (č.5) a 1102 (č.6) tvoří příjmy z celoživotního vzdělávání, 1420 konferencí, 1800 sponzorů</t>
  </si>
  <si>
    <t xml:space="preserve">a 9100 hospodářské činnost fakulty (č.9). </t>
  </si>
  <si>
    <t xml:space="preserve">ostatní zdroje financování (1350, 1355) </t>
  </si>
  <si>
    <t>konference, sponzoři, doplňková činnost (1420, 1800, 9100)</t>
  </si>
  <si>
    <t>ostatní služby AH</t>
  </si>
  <si>
    <t>prodané zboží</t>
  </si>
  <si>
    <t>smluvní výzkum DČ</t>
  </si>
  <si>
    <t>dotace OPVK</t>
  </si>
  <si>
    <t>dotace SGS</t>
  </si>
  <si>
    <t>úroky BÚ</t>
  </si>
  <si>
    <t>konzultace, poraden.DČ</t>
  </si>
  <si>
    <t>nákladově z 25</t>
  </si>
  <si>
    <t>prof</t>
  </si>
  <si>
    <t xml:space="preserve">doc. </t>
  </si>
  <si>
    <t>odb.as.</t>
  </si>
  <si>
    <t>věd.prac.</t>
  </si>
  <si>
    <t>děl.</t>
  </si>
  <si>
    <t>THP</t>
  </si>
  <si>
    <t xml:space="preserve">kmenově </t>
  </si>
  <si>
    <t>sestava MZ997</t>
  </si>
  <si>
    <t>Zpráva o hospodaření Filozofické fakulty OU za rok 2014</t>
  </si>
  <si>
    <t>včetně  účetního hospodářského výsledku FF OU za rok 2014.</t>
  </si>
  <si>
    <t>V roce 2014 obdržela FF vrámci schváleného rozpočtu Senátem OU neinvestiční příspěvek ve výši 68 123 tis. Kč.</t>
  </si>
  <si>
    <t xml:space="preserve">Z této částky bylo převedeno 4 021 tis. Kč na rektorát, na knihovnu 1 064 tis. Kč, CIT 488 tis. Kč  a 4 235 tis.Kč </t>
  </si>
  <si>
    <t xml:space="preserve">Za pedagogické praxe příjem 110,090 tis.Kč z PřF a FU. </t>
  </si>
  <si>
    <t>Vratka Knihovny za nedovyčerpání příspěvku z meziknihovních vypůjček 32,445 tis. Kč.</t>
  </si>
  <si>
    <t xml:space="preserve">Z rektorátu  za úspory energií  292,8 tis.Kč a nevyčerpané priority 1 390 tis.Kč. </t>
  </si>
  <si>
    <t>Příspěvek po všech těcho úpravách 60 140,434 tis. Kč.</t>
  </si>
  <si>
    <t>Haléřové vyrovnání, předpis škody, DPH činil 12,184 tis. Kč.</t>
  </si>
  <si>
    <t xml:space="preserve">Převod do fondu provozních prostředku FF za rok 2014 činí 341,877 tis.Kč. </t>
  </si>
  <si>
    <t>Celkový výnos na zdroji 1100 činil 66 506,553 tis.Kč. (včetně stipendijního fondu a FPP).</t>
  </si>
  <si>
    <t xml:space="preserve">Na stipendiích vyplatila fakulta 2 161,048 tis. Kč (zdroj 1100). </t>
  </si>
  <si>
    <t>Z FPP vyčerpala fakulta 4 192,886 tis. Kč (zdroj 1100)</t>
  </si>
  <si>
    <t>Dotace tohoto zdroje 1650  ve výši 21 620 tis. Kč byla  účelně a hospodárně vyčerpána ve stanovené výši.</t>
  </si>
  <si>
    <t>Ušetřené prostředky budou pracovištím k připočteny k rozpočtu na rok 2015.</t>
  </si>
  <si>
    <t>Účetní hospodářský výsledek FF za rok 2014 před zdaněním je 1 377,28 tis.Kč (viz tab. č10).</t>
  </si>
  <si>
    <t>V této tabulce jsou v sumáři uvedeny všechny zdroje financování Filozofické fakulty OU v roce 2014.</t>
  </si>
  <si>
    <t>V Ostravě dne 17.5.2015</t>
  </si>
  <si>
    <t>Předkládá:</t>
  </si>
  <si>
    <t>Zpracovala:</t>
  </si>
  <si>
    <t>Ing. Iveta Strungová, tajemnice FF</t>
  </si>
  <si>
    <t>Tabulka č.1 zdroje 1100 zprávy o hospodaření FF 2014</t>
  </si>
  <si>
    <t>z toho FPP</t>
  </si>
  <si>
    <t>1100-dotace 1-12/14</t>
  </si>
  <si>
    <t>1100-převod z Knihovny</t>
  </si>
  <si>
    <t>648/500</t>
  </si>
  <si>
    <t>fond provozních prostředků</t>
  </si>
  <si>
    <t>Nevyčerpaná dotace ve váši 341,877 tis. Kč převedena do fondu provozních prostředků  (FPP) fakulty.</t>
  </si>
  <si>
    <t xml:space="preserve">Tabulka číslo 2 je sumářem čerpání kateder FF, Ústavu a Center ze zdrojů 1100 a 1650 rozdělených  </t>
  </si>
  <si>
    <t>Tabulka č. 2 1100-1650 náklady kateder 2014</t>
  </si>
  <si>
    <t>anglistika</t>
  </si>
  <si>
    <t>Tabulka č.3  zdroje 1610 zprávy o hospodaření FF 2014</t>
  </si>
  <si>
    <t>1610 - spec. výzkum Herůfek</t>
  </si>
  <si>
    <t>1610 - spec. výzkum Jelínek</t>
  </si>
  <si>
    <t>1610 - spec. výzkum Raclavská</t>
  </si>
  <si>
    <t>1610 - spec. výzkum Radková</t>
  </si>
  <si>
    <t>1610 - spec. výzkum Rywiková (Otisk)</t>
  </si>
  <si>
    <t>1610 - spec. výzkum David</t>
  </si>
  <si>
    <t>Zdroj 1610 prostředky na specifikovaný vysokoškolský výzkum -SGS přiděleno 5 310 tis. Kč. Účelové prostředky</t>
  </si>
  <si>
    <t>Rektorátem přiděleno na pracoviště 25950 106 tis. Kč na materiál, odměny a oponentské posudky hodnocených projektů SGS.</t>
  </si>
  <si>
    <t>1240-MSK-Podpora VaV v MSK 2014-DT3</t>
  </si>
  <si>
    <t>1610 - spec. výzkum Ivánek (Malura)</t>
  </si>
  <si>
    <t>1610 - spec. výzkum Urbanová</t>
  </si>
  <si>
    <t>1610 - spec. výzkum Gašpárek</t>
  </si>
  <si>
    <t>1610 - spec. výzkum Pokludová</t>
  </si>
  <si>
    <t>1610 - spec. výzkum Kopecký</t>
  </si>
  <si>
    <t>1610 - spec. výzkum Šebestová</t>
  </si>
  <si>
    <t>1610 - spec. výzkum Kladiwa</t>
  </si>
  <si>
    <t>1610 - spec. výzkum Zářický</t>
  </si>
  <si>
    <t>1610 - spec. výzkum běžný provoz</t>
  </si>
  <si>
    <t>ostatní příjmy</t>
  </si>
  <si>
    <t>daňově neuznatelné náklady</t>
  </si>
  <si>
    <t>daňově neuznatelné náklady - pokuty a penále</t>
  </si>
  <si>
    <t>poplatky za přijímací řízení §58/1</t>
  </si>
  <si>
    <t>promoce</t>
  </si>
  <si>
    <t>habilitace a doktoráty</t>
  </si>
  <si>
    <t>zápis + úvod do studia mimo termín</t>
  </si>
  <si>
    <t>Vydání časopisu - Studia Germanistica</t>
  </si>
  <si>
    <t>Vydání časopisu - Psychologie a její kontexty</t>
  </si>
  <si>
    <t>Vydání časopisu - Ostrava Journal of English</t>
  </si>
  <si>
    <t>Vydání časopisu - Historica</t>
  </si>
  <si>
    <t>Tabulka č. 4 zdroje 1190 zprávy o hospodaření FF 2014</t>
  </si>
  <si>
    <t>Dodklad  (Výsledovka 25-1190).</t>
  </si>
  <si>
    <t>Dodklad  (Výsledovka 25-1101).</t>
  </si>
  <si>
    <t>Tabulka č. 5 zdroje 1101 zprávy o hospodaření FF 2014</t>
  </si>
  <si>
    <t>1101 - RS AJ a literatura pro SŠ</t>
  </si>
  <si>
    <t>1101 - RS AJ pro SŠ</t>
  </si>
  <si>
    <t>1101 - souhrn placeného studia</t>
  </si>
  <si>
    <t>1101 - Psychologie</t>
  </si>
  <si>
    <t>1101 - RS historie ze ZŠ na SŠ</t>
  </si>
  <si>
    <t>1101 - U3V - Člověk, kultura a umění regionu</t>
  </si>
  <si>
    <t>1101 - U3V - Evropské královské rody</t>
  </si>
  <si>
    <t>1101 - U3V - Místa a osobnosti</t>
  </si>
  <si>
    <t>1101 - U3V - Jazyk a kultura</t>
  </si>
  <si>
    <t>1101 - Japonština</t>
  </si>
  <si>
    <t>1101 - U3V - Světová literatura</t>
  </si>
  <si>
    <t>1101 - RS AJ a literatura pro ZŠ</t>
  </si>
  <si>
    <t>1101 - RS AJ a didakt. pro 2. st. ZŠ</t>
  </si>
  <si>
    <t>Tabulka č.6 zdroje 1102 zprávy o hospodaření FF 2014</t>
  </si>
  <si>
    <t>Dodklad  (Výsledovka 25-1102).</t>
  </si>
  <si>
    <t>Krátkodobé zakázky celoživotního vzdělávání neosvobozené od DPH uskutečňované v roce 2014.</t>
  </si>
  <si>
    <t>1102 - Čeština pro cizince</t>
  </si>
  <si>
    <t>1102 - přípravný kurz historie</t>
  </si>
  <si>
    <t>1102 - souhrn placeného studia</t>
  </si>
  <si>
    <t>1102 - Úvod do studia na FF OU</t>
  </si>
  <si>
    <t>1102 - Studium vybraného předmětu Čínština</t>
  </si>
  <si>
    <t xml:space="preserve">Prostředky na studentskou grantovou soutěž ve výši 5 416 tis. byly, v souladu s jejich návrhem, vyčerpány - zdroj 1610. </t>
  </si>
  <si>
    <t>podpora VaV 2 171,440 tis. (1184), příspěvek U3V 244,4 tis. (1188), NAKI 561 tis. (1230), projekty kraje 24,732 tis. (1240).</t>
  </si>
  <si>
    <t>GAČR Jung (převod do FÚUP 12 000 Kč)</t>
  </si>
  <si>
    <t>GAČR Kovalová</t>
  </si>
  <si>
    <t>GAČR Novotný</t>
  </si>
  <si>
    <t>GAČR Popelka</t>
  </si>
  <si>
    <t>GAČR Kladiwa</t>
  </si>
  <si>
    <t>GAČR Zářický (převod do FÚUP 70 370 Kč)</t>
  </si>
  <si>
    <t>stipendia doktorandi FF (převod do FÚUP 527 500 Kč)</t>
  </si>
  <si>
    <t>IRP Otisk</t>
  </si>
  <si>
    <t>IRP Vilímek</t>
  </si>
  <si>
    <t>IRP Málková</t>
  </si>
  <si>
    <t>IRP Šťastná</t>
  </si>
  <si>
    <t>IRP Pokludová</t>
  </si>
  <si>
    <t>IRP Dedková</t>
  </si>
  <si>
    <t>IRP Lazar</t>
  </si>
  <si>
    <t>IRP Fialová</t>
  </si>
  <si>
    <t>IRP Machová</t>
  </si>
  <si>
    <t>IRP Zářický</t>
  </si>
  <si>
    <t>IPR Otisk</t>
  </si>
  <si>
    <t>IRP režie</t>
  </si>
  <si>
    <t>1188 - U3V</t>
  </si>
  <si>
    <t>1230 - NAKI David</t>
  </si>
  <si>
    <t>1240 - MSK - Podpora VaV v MSK 2014-DT3</t>
  </si>
  <si>
    <t xml:space="preserve">Zakázky (GAČR 1680, stipendia doktorandi 1120, zahraniční studenti 1130, rozvojové programy MŠMT "I" 1184, 1188 U3V "F", </t>
  </si>
  <si>
    <t>Doklad - výsledovky činností z 17.5.2015 a 18.5.2015</t>
  </si>
  <si>
    <t xml:space="preserve">NAKI 1230, územně správní celky, města, kraje 1240) řešené v roce 2014. </t>
  </si>
  <si>
    <t>Tabulka č.7 zdrojů 1680, 1120, 1130, 1184, 1188, 1230, 1240 zpráva o hospodaření FF 2014</t>
  </si>
  <si>
    <t>Tabulka č.8 zdrojů  1350, 1355 zpráva o hospodaření FF 2014</t>
  </si>
  <si>
    <t xml:space="preserve">Zakázky (OP VK 1350 a 1355) řešené v roce 2014. </t>
  </si>
  <si>
    <t>1350 OPVK - hlavní řešitel - 346/691 Posílení rozvoje center; nepřímé náklady</t>
  </si>
  <si>
    <t>1350 OPVK - hlavní řešitel - 346/691 Posílení rozvoje center (Vaňková)</t>
  </si>
  <si>
    <t>1355 OPVK - spoluřešitel - 346/691 Výzkumná síť (Otisk)</t>
  </si>
  <si>
    <t>1355 OPVK - spoluřešitel - 346/691 Výzkumná síť; nepřímé náklady</t>
  </si>
  <si>
    <t>1355 OPVK - spoluřešitel - 346/691 NEFLT (Tomášková)</t>
  </si>
  <si>
    <t>1355 OPVK - spoluřešitel - 346/691 NEFLT; nepřímé náklady</t>
  </si>
  <si>
    <t>1355 OPVK - spoluřešitel - 346/691 Inovace mgr. studia (Zářický)</t>
  </si>
  <si>
    <t>1355 OPVK - spoluřešitel - 346/691 Inovace mgr. studia; nepřímé náklady</t>
  </si>
  <si>
    <t>135*</t>
  </si>
  <si>
    <t>25*</t>
  </si>
  <si>
    <t>Doklad - výsledovky činností z 18.5.2015</t>
  </si>
  <si>
    <t>A2-253501 MŠMT OPVK Posílení rozvoje Centra výuzkumu odborného jazyka (Vaňková)</t>
  </si>
  <si>
    <t>A2-253555 ZČU Plzeň OPVK výzkumná síť teorie dějin vědy</t>
  </si>
  <si>
    <t>A2-253554 UJEP Ústí nad Labem OPVK Síť vzdělavatelů učitelů cizích jazyků NEFLT</t>
  </si>
  <si>
    <t>A2-253553 VŠB Ostrava OPVK Inovace magisterských studijních programů na EkF VŠB</t>
  </si>
  <si>
    <t>Tabulka č. 9 zdrojů 1420, 1800, 9100 zpráva o hospodaření FF 2014</t>
  </si>
  <si>
    <t>Zakázky (konference, sponzoři, doplňková činnost) ukončené v roce 2014.</t>
  </si>
  <si>
    <t>Podklad výsledovky činnosti 1420, 1800, 9100 (17.5.2015).</t>
  </si>
  <si>
    <t>1420 - Studia Humanitatis</t>
  </si>
  <si>
    <t>1420 - Parémie národů slovanských</t>
  </si>
  <si>
    <t>1420 - Psychologické aspekty pomáhání</t>
  </si>
  <si>
    <t>1800 - Biocel Paskov</t>
  </si>
  <si>
    <t>1800 - MUDr. Stránský</t>
  </si>
  <si>
    <t>1800 - Pavel Carbol</t>
  </si>
  <si>
    <t>1800 - Jiří Brňovják</t>
  </si>
  <si>
    <t>1800 - Sdružení obcí Hlučínska</t>
  </si>
  <si>
    <t>9100 - Zkoušky pro účely udělní státního občanství</t>
  </si>
  <si>
    <t>9100 - Čeština pro cizince</t>
  </si>
  <si>
    <t>9100 - Centrála cestovního ruchu</t>
  </si>
  <si>
    <t>Čerpání FF 2014 podle zdrojů ,SÚ a AÚ</t>
  </si>
  <si>
    <t>oop</t>
  </si>
  <si>
    <t>trržby za prodané zboží</t>
  </si>
  <si>
    <t>024</t>
  </si>
  <si>
    <t>kurzové ztráty - daň.uzn.</t>
  </si>
  <si>
    <t>023</t>
  </si>
  <si>
    <t>ostatní kapitoly SR</t>
  </si>
  <si>
    <t>MSK</t>
  </si>
  <si>
    <t>FPP převod 2015</t>
  </si>
  <si>
    <t>931</t>
  </si>
  <si>
    <t>placené vzděl. Kurzy DČ</t>
  </si>
  <si>
    <t>HV 2014</t>
  </si>
  <si>
    <t>Leonardo</t>
  </si>
  <si>
    <t>FF-prům. 2014</t>
  </si>
  <si>
    <t>knihy a časopisy daň. uz.</t>
  </si>
  <si>
    <t>DHM-maj.1500-40000</t>
  </si>
  <si>
    <t>cestovné ostatní</t>
  </si>
  <si>
    <t>V tabulce č. 2 přehled o čerpáni.</t>
  </si>
  <si>
    <t>V tabulce č. 2 je uveden souhrn výnosů a nákladů za zdrojů 1100 a 1650 po katedrách a centrech.</t>
  </si>
  <si>
    <t>Institucionální podpora na dlouhodobý koncepční rozvoj výzkumné organizace (tabulka 2)</t>
  </si>
  <si>
    <t xml:space="preserve">V roce 2014 obdržela FF neinvestiční dotace z GAČR 3 640 tis. (1680), stipendia dokt. 4 500 tis. a zahr. studenti 19,608 (1120 a 1130), </t>
  </si>
  <si>
    <t>přehled čerpání zdrojů (1680, 1120, 1130, 1184, 1188, 1240)</t>
  </si>
</sst>
</file>

<file path=xl/styles.xml><?xml version="1.0" encoding="utf-8"?>
<styleSheet xmlns="http://schemas.openxmlformats.org/spreadsheetml/2006/main">
  <numFmts count="4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;;"/>
    <numFmt numFmtId="165" formatCode="0.0"/>
    <numFmt numFmtId="166" formatCode="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#,##0\ "/>
    <numFmt numFmtId="171" formatCode="_-* #,##0\ _K_č_-;\-* #,##0\ _K_č_-;_-* &quot;-&quot;??\ _K_č_-;_-@_-"/>
    <numFmt numFmtId="172" formatCode="_-* #,##0.0\ _K_č_-;\-* #,##0.0\ _K_č_-;_-* &quot;-&quot;??\ _K_č_-;_-@_-"/>
    <numFmt numFmtId="173" formatCode="#,##0.00&quot; &quot;;\-#,##0.00&quot; &quot;;&quot; &quot;;&quot; &quot;\ "/>
    <numFmt numFmtId="174" formatCode="#,##0.00&quot; &quot;"/>
    <numFmt numFmtId="175" formatCode="#,##0.00&quot; &quot;;\-#,##0.00&quot; &quot;;&quot; 0,00&quot;;&quot; 0,00&quot;\ "/>
    <numFmt numFmtId="176" formatCode="#,##0\ &quot;Kc&quot;;\-#,##0\ &quot;Kc&quot;"/>
    <numFmt numFmtId="177" formatCode="#,##0\ &quot;Kc&quot;;[Red]\-#,##0\ &quot;Kc&quot;"/>
    <numFmt numFmtId="178" formatCode="#,##0.00\ &quot;Kc&quot;;\-#,##0.00\ &quot;Kc&quot;"/>
    <numFmt numFmtId="179" formatCode="#,##0.00\ &quot;Kc&quot;;[Red]\-#,##0.00\ &quot;Kc&quot;"/>
    <numFmt numFmtId="180" formatCode="_-* #,##0\ &quot;Kc&quot;_-;\-* #,##0\ &quot;Kc&quot;_-;_-* &quot;-&quot;\ &quot;Kc&quot;_-;_-@_-"/>
    <numFmt numFmtId="181" formatCode="_-* #,##0\ _K_c_-;\-* #,##0\ _K_c_-;_-* &quot;-&quot;\ _K_c_-;_-@_-"/>
    <numFmt numFmtId="182" formatCode="_-* #,##0.00\ &quot;Kc&quot;_-;\-* #,##0.00\ &quot;Kc&quot;_-;_-* &quot;-&quot;??\ &quot;Kc&quot;_-;_-@_-"/>
    <numFmt numFmtId="183" formatCode="_-* #,##0.00\ _K_c_-;\-* #,##0.00\ _K_c_-;_-* &quot;-&quot;??\ _K_c_-;_-@_-"/>
    <numFmt numFmtId="184" formatCode="_-* #,##0\ _K_c_-;\-* #,##0\ _K_c_-;_-* &quot;-&quot;??\ _K_c_-;_-@_-"/>
    <numFmt numFmtId="185" formatCode="_-* #,##0.0\ _K_c_-;\-* #,##0.0\ _K_c_-;_-* &quot;-&quot;??\ _K_c_-;_-@_-"/>
    <numFmt numFmtId="186" formatCode="#,##0.0"/>
    <numFmt numFmtId="187" formatCode="#,##0.000"/>
    <numFmt numFmtId="188" formatCode="#,##0.0000"/>
    <numFmt numFmtId="189" formatCode="#,##0.00000"/>
    <numFmt numFmtId="190" formatCode="_-* #,##0.0\ _K_č_-;\-* #,##0.0\ _K_č_-;_-* &quot;-&quot;?\ _K_č_-;_-@_-"/>
    <numFmt numFmtId="191" formatCode="#,##0.0_ ;\-#,##0.0\ "/>
    <numFmt numFmtId="192" formatCode="#,##0.000_ ;\-#,##0.000\ "/>
    <numFmt numFmtId="193" formatCode="0.0000000000"/>
    <numFmt numFmtId="194" formatCode="[$-405]d\.\ mmmm\ yyyy"/>
    <numFmt numFmtId="195" formatCode="0.0000"/>
    <numFmt numFmtId="196" formatCode="0.00000"/>
    <numFmt numFmtId="197" formatCode="0.000000"/>
  </numFmts>
  <fonts count="49">
    <font>
      <sz val="10"/>
      <name val="Arial CE"/>
      <family val="0"/>
    </font>
    <font>
      <b/>
      <sz val="10"/>
      <name val="Arial CE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sz val="10"/>
      <color indexed="10"/>
      <name val="Arial CE"/>
      <family val="2"/>
    </font>
    <font>
      <sz val="10"/>
      <name val="MS Sans Serif"/>
      <family val="2"/>
    </font>
    <font>
      <b/>
      <sz val="10"/>
      <name val="Arial"/>
      <family val="2"/>
    </font>
    <font>
      <sz val="8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9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Arial CE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9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medium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 style="medium"/>
      <bottom style="medium"/>
    </border>
    <border>
      <left style="double"/>
      <right style="double"/>
      <top>
        <color indexed="63"/>
      </top>
      <bottom style="thin"/>
    </border>
    <border>
      <left style="double"/>
      <right style="double"/>
      <top style="medium"/>
      <bottom style="thin"/>
    </border>
    <border>
      <left style="double"/>
      <right style="double"/>
      <top style="thin"/>
      <bottom style="medium"/>
    </border>
    <border>
      <left style="double"/>
      <right style="double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2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 horizontal="right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1" fillId="33" borderId="14" xfId="0" applyFont="1" applyFill="1" applyBorder="1" applyAlignment="1">
      <alignment horizontal="right"/>
    </xf>
    <xf numFmtId="0" fontId="1" fillId="33" borderId="15" xfId="0" applyFont="1" applyFill="1" applyBorder="1" applyAlignment="1">
      <alignment horizontal="center"/>
    </xf>
    <xf numFmtId="1" fontId="1" fillId="0" borderId="16" xfId="0" applyNumberFormat="1" applyFont="1" applyBorder="1" applyAlignment="1">
      <alignment horizontal="center"/>
    </xf>
    <xf numFmtId="1" fontId="1" fillId="0" borderId="17" xfId="0" applyNumberFormat="1" applyFont="1" applyBorder="1" applyAlignment="1">
      <alignment horizontal="right"/>
    </xf>
    <xf numFmtId="0" fontId="1" fillId="0" borderId="15" xfId="0" applyFont="1" applyFill="1" applyBorder="1" applyAlignment="1">
      <alignment horizontal="right"/>
    </xf>
    <xf numFmtId="0" fontId="1" fillId="33" borderId="13" xfId="0" applyFont="1" applyFill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33" borderId="18" xfId="0" applyFont="1" applyFill="1" applyBorder="1" applyAlignment="1">
      <alignment horizontal="right"/>
    </xf>
    <xf numFmtId="0" fontId="1" fillId="33" borderId="19" xfId="0" applyFont="1" applyFill="1" applyBorder="1" applyAlignment="1">
      <alignment horizontal="right"/>
    </xf>
    <xf numFmtId="1" fontId="1" fillId="0" borderId="20" xfId="0" applyNumberFormat="1" applyFont="1" applyBorder="1" applyAlignment="1">
      <alignment horizontal="right"/>
    </xf>
    <xf numFmtId="1" fontId="1" fillId="0" borderId="21" xfId="0" applyNumberFormat="1" applyFont="1" applyBorder="1" applyAlignment="1">
      <alignment horizontal="right"/>
    </xf>
    <xf numFmtId="49" fontId="1" fillId="33" borderId="22" xfId="0" applyNumberFormat="1" applyFont="1" applyFill="1" applyBorder="1" applyAlignment="1">
      <alignment/>
    </xf>
    <xf numFmtId="49" fontId="1" fillId="33" borderId="23" xfId="0" applyNumberFormat="1" applyFont="1" applyFill="1" applyBorder="1" applyAlignment="1">
      <alignment horizontal="center"/>
    </xf>
    <xf numFmtId="49" fontId="1" fillId="33" borderId="24" xfId="0" applyNumberFormat="1" applyFont="1" applyFill="1" applyBorder="1" applyAlignment="1">
      <alignment horizontal="center"/>
    </xf>
    <xf numFmtId="49" fontId="5" fillId="33" borderId="25" xfId="0" applyNumberFormat="1" applyFont="1" applyFill="1" applyBorder="1" applyAlignment="1">
      <alignment horizontal="center"/>
    </xf>
    <xf numFmtId="49" fontId="1" fillId="33" borderId="26" xfId="0" applyNumberFormat="1" applyFont="1" applyFill="1" applyBorder="1" applyAlignment="1">
      <alignment horizontal="center"/>
    </xf>
    <xf numFmtId="49" fontId="1" fillId="33" borderId="27" xfId="0" applyNumberFormat="1" applyFont="1" applyFill="1" applyBorder="1" applyAlignment="1">
      <alignment horizontal="center"/>
    </xf>
    <xf numFmtId="49" fontId="1" fillId="33" borderId="18" xfId="0" applyNumberFormat="1" applyFont="1" applyFill="1" applyBorder="1" applyAlignment="1">
      <alignment/>
    </xf>
    <xf numFmtId="49" fontId="1" fillId="33" borderId="28" xfId="0" applyNumberFormat="1" applyFont="1" applyFill="1" applyBorder="1" applyAlignment="1">
      <alignment horizontal="center"/>
    </xf>
    <xf numFmtId="49" fontId="1" fillId="33" borderId="29" xfId="0" applyNumberFormat="1" applyFont="1" applyFill="1" applyBorder="1" applyAlignment="1">
      <alignment horizontal="center"/>
    </xf>
    <xf numFmtId="49" fontId="5" fillId="33" borderId="20" xfId="0" applyNumberFormat="1" applyFont="1" applyFill="1" applyBorder="1" applyAlignment="1">
      <alignment horizontal="center"/>
    </xf>
    <xf numFmtId="49" fontId="1" fillId="33" borderId="30" xfId="0" applyNumberFormat="1" applyFont="1" applyFill="1" applyBorder="1" applyAlignment="1">
      <alignment horizontal="center"/>
    </xf>
    <xf numFmtId="49" fontId="1" fillId="33" borderId="21" xfId="0" applyNumberFormat="1" applyFont="1" applyFill="1" applyBorder="1" applyAlignment="1">
      <alignment horizontal="center"/>
    </xf>
    <xf numFmtId="0" fontId="0" fillId="0" borderId="31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165" fontId="0" fillId="0" borderId="33" xfId="0" applyNumberFormat="1" applyFont="1" applyBorder="1" applyAlignment="1">
      <alignment/>
    </xf>
    <xf numFmtId="165" fontId="0" fillId="0" borderId="34" xfId="0" applyNumberFormat="1" applyFont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165" fontId="0" fillId="0" borderId="37" xfId="0" applyNumberFormat="1" applyFont="1" applyBorder="1" applyAlignment="1">
      <alignment/>
    </xf>
    <xf numFmtId="0" fontId="1" fillId="33" borderId="22" xfId="0" applyFont="1" applyFill="1" applyBorder="1" applyAlignment="1">
      <alignment/>
    </xf>
    <xf numFmtId="0" fontId="1" fillId="33" borderId="38" xfId="0" applyFont="1" applyFill="1" applyBorder="1" applyAlignment="1">
      <alignment/>
    </xf>
    <xf numFmtId="165" fontId="1" fillId="33" borderId="25" xfId="0" applyNumberFormat="1" applyFont="1" applyFill="1" applyBorder="1" applyAlignment="1">
      <alignment/>
    </xf>
    <xf numFmtId="1" fontId="1" fillId="0" borderId="39" xfId="0" applyNumberFormat="1" applyFont="1" applyBorder="1" applyAlignment="1">
      <alignment horizontal="right"/>
    </xf>
    <xf numFmtId="2" fontId="1" fillId="33" borderId="27" xfId="0" applyNumberFormat="1" applyFont="1" applyFill="1" applyBorder="1" applyAlignment="1">
      <alignment/>
    </xf>
    <xf numFmtId="2" fontId="0" fillId="0" borderId="34" xfId="0" applyNumberFormat="1" applyFont="1" applyBorder="1" applyAlignment="1">
      <alignment/>
    </xf>
    <xf numFmtId="2" fontId="1" fillId="33" borderId="25" xfId="0" applyNumberFormat="1" applyFont="1" applyFill="1" applyBorder="1" applyAlignment="1">
      <alignment/>
    </xf>
    <xf numFmtId="49" fontId="0" fillId="0" borderId="32" xfId="0" applyNumberFormat="1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7" fillId="0" borderId="0" xfId="0" applyFont="1" applyAlignment="1">
      <alignment/>
    </xf>
    <xf numFmtId="1" fontId="1" fillId="34" borderId="0" xfId="0" applyNumberFormat="1" applyFont="1" applyFill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0" fontId="0" fillId="0" borderId="0" xfId="0" applyFill="1" applyAlignment="1">
      <alignment/>
    </xf>
    <xf numFmtId="0" fontId="0" fillId="0" borderId="35" xfId="0" applyBorder="1" applyAlignment="1">
      <alignment/>
    </xf>
    <xf numFmtId="0" fontId="0" fillId="0" borderId="40" xfId="0" applyBorder="1" applyAlignment="1">
      <alignment/>
    </xf>
    <xf numFmtId="0" fontId="0" fillId="0" borderId="37" xfId="0" applyBorder="1" applyAlignment="1">
      <alignment/>
    </xf>
    <xf numFmtId="0" fontId="0" fillId="35" borderId="39" xfId="0" applyFill="1" applyBorder="1" applyAlignment="1">
      <alignment/>
    </xf>
    <xf numFmtId="0" fontId="0" fillId="0" borderId="39" xfId="0" applyBorder="1" applyAlignment="1">
      <alignment/>
    </xf>
    <xf numFmtId="0" fontId="0" fillId="0" borderId="39" xfId="0" applyFill="1" applyBorder="1" applyAlignment="1">
      <alignment/>
    </xf>
    <xf numFmtId="1" fontId="0" fillId="0" borderId="39" xfId="0" applyNumberFormat="1" applyFill="1" applyBorder="1" applyAlignment="1">
      <alignment/>
    </xf>
    <xf numFmtId="1" fontId="0" fillId="0" borderId="39" xfId="0" applyNumberFormat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165" fontId="0" fillId="0" borderId="0" xfId="0" applyNumberFormat="1" applyFont="1" applyBorder="1" applyAlignment="1">
      <alignment/>
    </xf>
    <xf numFmtId="165" fontId="6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Font="1" applyAlignment="1">
      <alignment/>
    </xf>
    <xf numFmtId="0" fontId="0" fillId="0" borderId="0" xfId="0" applyBorder="1" applyAlignment="1">
      <alignment/>
    </xf>
    <xf numFmtId="1" fontId="0" fillId="0" borderId="39" xfId="0" applyNumberForma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1" fontId="0" fillId="35" borderId="39" xfId="0" applyNumberFormat="1" applyFill="1" applyBorder="1" applyAlignment="1">
      <alignment/>
    </xf>
    <xf numFmtId="1" fontId="0" fillId="0" borderId="0" xfId="0" applyNumberFormat="1" applyBorder="1" applyAlignment="1">
      <alignment/>
    </xf>
    <xf numFmtId="0" fontId="0" fillId="0" borderId="39" xfId="0" applyFill="1" applyBorder="1" applyAlignment="1" applyProtection="1">
      <alignment/>
      <protection locked="0"/>
    </xf>
    <xf numFmtId="0" fontId="8" fillId="0" borderId="0" xfId="0" applyFont="1" applyAlignment="1">
      <alignment/>
    </xf>
    <xf numFmtId="1" fontId="8" fillId="0" borderId="0" xfId="0" applyNumberFormat="1" applyFont="1" applyAlignment="1">
      <alignment/>
    </xf>
    <xf numFmtId="1" fontId="8" fillId="0" borderId="0" xfId="0" applyNumberFormat="1" applyFont="1" applyFill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42" xfId="0" applyFill="1" applyBorder="1" applyAlignment="1">
      <alignment/>
    </xf>
    <xf numFmtId="2" fontId="0" fillId="0" borderId="33" xfId="0" applyNumberFormat="1" applyFont="1" applyBorder="1" applyAlignment="1">
      <alignment/>
    </xf>
    <xf numFmtId="2" fontId="0" fillId="0" borderId="37" xfId="0" applyNumberFormat="1" applyFont="1" applyBorder="1" applyAlignment="1">
      <alignment/>
    </xf>
    <xf numFmtId="49" fontId="1" fillId="33" borderId="13" xfId="0" applyNumberFormat="1" applyFont="1" applyFill="1" applyBorder="1" applyAlignment="1">
      <alignment/>
    </xf>
    <xf numFmtId="49" fontId="1" fillId="33" borderId="0" xfId="0" applyNumberFormat="1" applyFont="1" applyFill="1" applyBorder="1" applyAlignment="1">
      <alignment horizontal="center"/>
    </xf>
    <xf numFmtId="1" fontId="0" fillId="0" borderId="39" xfId="0" applyNumberFormat="1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39" xfId="0" applyFont="1" applyBorder="1" applyAlignment="1">
      <alignment/>
    </xf>
    <xf numFmtId="49" fontId="0" fillId="0" borderId="39" xfId="0" applyNumberFormat="1" applyBorder="1" applyAlignment="1">
      <alignment/>
    </xf>
    <xf numFmtId="49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0" fontId="0" fillId="0" borderId="43" xfId="0" applyFill="1" applyBorder="1" applyAlignment="1">
      <alignment/>
    </xf>
    <xf numFmtId="4" fontId="0" fillId="0" borderId="0" xfId="0" applyNumberFormat="1" applyAlignment="1">
      <alignment/>
    </xf>
    <xf numFmtId="165" fontId="0" fillId="0" borderId="0" xfId="0" applyNumberFormat="1" applyFont="1" applyAlignment="1">
      <alignment/>
    </xf>
    <xf numFmtId="0" fontId="0" fillId="34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44" xfId="0" applyFont="1" applyFill="1" applyBorder="1" applyAlignment="1">
      <alignment horizontal="center"/>
    </xf>
    <xf numFmtId="0" fontId="1" fillId="0" borderId="45" xfId="0" applyFont="1" applyFill="1" applyBorder="1" applyAlignment="1">
      <alignment/>
    </xf>
    <xf numFmtId="0" fontId="1" fillId="0" borderId="46" xfId="0" applyFont="1" applyFill="1" applyBorder="1" applyAlignment="1">
      <alignment horizontal="center"/>
    </xf>
    <xf numFmtId="0" fontId="1" fillId="0" borderId="47" xfId="0" applyFont="1" applyFill="1" applyBorder="1" applyAlignment="1">
      <alignment/>
    </xf>
    <xf numFmtId="0" fontId="0" fillId="0" borderId="48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50" xfId="0" applyFill="1" applyBorder="1" applyAlignment="1">
      <alignment/>
    </xf>
    <xf numFmtId="0" fontId="0" fillId="0" borderId="51" xfId="0" applyFill="1" applyBorder="1" applyAlignment="1">
      <alignment horizontal="center"/>
    </xf>
    <xf numFmtId="0" fontId="0" fillId="0" borderId="52" xfId="0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2" fontId="0" fillId="0" borderId="33" xfId="0" applyNumberFormat="1" applyFont="1" applyBorder="1" applyAlignment="1">
      <alignment/>
    </xf>
    <xf numFmtId="2" fontId="0" fillId="0" borderId="31" xfId="0" applyNumberFormat="1" applyFont="1" applyBorder="1" applyAlignment="1">
      <alignment/>
    </xf>
    <xf numFmtId="0" fontId="0" fillId="0" borderId="0" xfId="0" applyFont="1" applyAlignment="1">
      <alignment/>
    </xf>
    <xf numFmtId="1" fontId="0" fillId="0" borderId="39" xfId="0" applyNumberFormat="1" applyFont="1" applyFill="1" applyBorder="1" applyAlignment="1">
      <alignment/>
    </xf>
    <xf numFmtId="1" fontId="0" fillId="0" borderId="35" xfId="0" applyNumberFormat="1" applyBorder="1" applyAlignment="1">
      <alignment/>
    </xf>
    <xf numFmtId="1" fontId="0" fillId="35" borderId="35" xfId="0" applyNumberFormat="1" applyFill="1" applyBorder="1" applyAlignment="1">
      <alignment/>
    </xf>
    <xf numFmtId="1" fontId="0" fillId="0" borderId="35" xfId="0" applyNumberFormat="1" applyFill="1" applyBorder="1" applyAlignment="1">
      <alignment/>
    </xf>
    <xf numFmtId="0" fontId="0" fillId="0" borderId="53" xfId="0" applyFill="1" applyBorder="1" applyAlignment="1">
      <alignment/>
    </xf>
    <xf numFmtId="0" fontId="0" fillId="0" borderId="48" xfId="0" applyFill="1" applyBorder="1" applyAlignment="1">
      <alignment/>
    </xf>
    <xf numFmtId="1" fontId="0" fillId="0" borderId="48" xfId="0" applyNumberFormat="1" applyFill="1" applyBorder="1" applyAlignment="1" applyProtection="1">
      <alignment/>
      <protection locked="0"/>
    </xf>
    <xf numFmtId="1" fontId="0" fillId="0" borderId="43" xfId="0" applyNumberFormat="1" applyFill="1" applyBorder="1" applyAlignment="1" applyProtection="1">
      <alignment/>
      <protection locked="0"/>
    </xf>
    <xf numFmtId="1" fontId="0" fillId="0" borderId="48" xfId="0" applyNumberFormat="1" applyFill="1" applyBorder="1" applyAlignment="1">
      <alignment/>
    </xf>
    <xf numFmtId="1" fontId="0" fillId="35" borderId="48" xfId="0" applyNumberFormat="1" applyFill="1" applyBorder="1" applyAlignment="1">
      <alignment/>
    </xf>
    <xf numFmtId="1" fontId="0" fillId="35" borderId="43" xfId="0" applyNumberFormat="1" applyFill="1" applyBorder="1" applyAlignment="1">
      <alignment/>
    </xf>
    <xf numFmtId="0" fontId="0" fillId="0" borderId="48" xfId="0" applyFill="1" applyBorder="1" applyAlignment="1" applyProtection="1">
      <alignment/>
      <protection locked="0"/>
    </xf>
    <xf numFmtId="0" fontId="1" fillId="34" borderId="35" xfId="0" applyFont="1" applyFill="1" applyBorder="1" applyAlignment="1">
      <alignment/>
    </xf>
    <xf numFmtId="0" fontId="1" fillId="34" borderId="36" xfId="0" applyFont="1" applyFill="1" applyBorder="1" applyAlignment="1">
      <alignment/>
    </xf>
    <xf numFmtId="0" fontId="1" fillId="34" borderId="31" xfId="0" applyFont="1" applyFill="1" applyBorder="1" applyAlignment="1">
      <alignment/>
    </xf>
    <xf numFmtId="0" fontId="1" fillId="34" borderId="32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0" xfId="0" applyAlignment="1" applyProtection="1">
      <alignment horizontal="left"/>
      <protection locked="0"/>
    </xf>
    <xf numFmtId="1" fontId="1" fillId="34" borderId="39" xfId="0" applyNumberFormat="1" applyFont="1" applyFill="1" applyBorder="1" applyAlignment="1">
      <alignment/>
    </xf>
    <xf numFmtId="1" fontId="1" fillId="34" borderId="39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Fill="1" applyAlignment="1">
      <alignment horizontal="right"/>
    </xf>
    <xf numFmtId="4" fontId="0" fillId="0" borderId="0" xfId="0" applyNumberFormat="1" applyFont="1" applyFill="1" applyAlignment="1">
      <alignment/>
    </xf>
    <xf numFmtId="1" fontId="0" fillId="0" borderId="0" xfId="0" applyNumberFormat="1" applyFill="1" applyBorder="1" applyAlignment="1">
      <alignment/>
    </xf>
    <xf numFmtId="1" fontId="0" fillId="0" borderId="0" xfId="0" applyNumberFormat="1" applyFill="1" applyAlignment="1">
      <alignment/>
    </xf>
    <xf numFmtId="0" fontId="0" fillId="0" borderId="0" xfId="0" applyNumberFormat="1" applyAlignment="1" applyProtection="1">
      <alignment horizontal="left"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1" fontId="0" fillId="0" borderId="39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" fillId="34" borderId="31" xfId="0" applyFont="1" applyFill="1" applyBorder="1" applyAlignment="1">
      <alignment/>
    </xf>
    <xf numFmtId="0" fontId="1" fillId="34" borderId="32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49" fontId="1" fillId="33" borderId="17" xfId="0" applyNumberFormat="1" applyFont="1" applyFill="1" applyBorder="1" applyAlignment="1">
      <alignment horizontal="center"/>
    </xf>
    <xf numFmtId="49" fontId="1" fillId="33" borderId="15" xfId="0" applyNumberFormat="1" applyFont="1" applyFill="1" applyBorder="1" applyAlignment="1">
      <alignment horizontal="center"/>
    </xf>
    <xf numFmtId="0" fontId="1" fillId="36" borderId="35" xfId="0" applyFont="1" applyFill="1" applyBorder="1" applyAlignment="1">
      <alignment/>
    </xf>
    <xf numFmtId="0" fontId="1" fillId="36" borderId="36" xfId="0" applyFont="1" applyFill="1" applyBorder="1" applyAlignment="1">
      <alignment/>
    </xf>
    <xf numFmtId="4" fontId="0" fillId="0" borderId="5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right"/>
      <protection locked="0"/>
    </xf>
    <xf numFmtId="0" fontId="0" fillId="0" borderId="54" xfId="0" applyNumberFormat="1" applyBorder="1" applyAlignment="1" applyProtection="1">
      <alignment horizontal="left"/>
      <protection locked="0"/>
    </xf>
    <xf numFmtId="0" fontId="0" fillId="37" borderId="0" xfId="0" applyFill="1" applyAlignment="1">
      <alignment/>
    </xf>
    <xf numFmtId="0" fontId="48" fillId="0" borderId="0" xfId="0" applyFont="1" applyAlignment="1">
      <alignment/>
    </xf>
    <xf numFmtId="0" fontId="1" fillId="0" borderId="35" xfId="0" applyFont="1" applyBorder="1" applyAlignment="1">
      <alignment/>
    </xf>
    <xf numFmtId="0" fontId="1" fillId="0" borderId="55" xfId="0" applyFont="1" applyFill="1" applyBorder="1" applyAlignment="1">
      <alignment/>
    </xf>
    <xf numFmtId="0" fontId="1" fillId="33" borderId="5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right"/>
    </xf>
    <xf numFmtId="0" fontId="1" fillId="0" borderId="17" xfId="0" applyFont="1" applyBorder="1" applyAlignment="1">
      <alignment horizontal="right"/>
    </xf>
    <xf numFmtId="1" fontId="0" fillId="0" borderId="39" xfId="0" applyNumberFormat="1" applyFont="1" applyBorder="1" applyAlignment="1">
      <alignment/>
    </xf>
    <xf numFmtId="1" fontId="1" fillId="36" borderId="39" xfId="0" applyNumberFormat="1" applyFont="1" applyFill="1" applyBorder="1" applyAlignment="1">
      <alignment/>
    </xf>
    <xf numFmtId="1" fontId="0" fillId="0" borderId="39" xfId="0" applyNumberFormat="1" applyFont="1" applyBorder="1" applyAlignment="1">
      <alignment/>
    </xf>
    <xf numFmtId="2" fontId="1" fillId="33" borderId="39" xfId="0" applyNumberFormat="1" applyFont="1" applyFill="1" applyBorder="1" applyAlignment="1">
      <alignment/>
    </xf>
    <xf numFmtId="0" fontId="0" fillId="0" borderId="0" xfId="0" applyFont="1" applyAlignment="1">
      <alignment/>
    </xf>
    <xf numFmtId="4" fontId="1" fillId="0" borderId="0" xfId="0" applyNumberFormat="1" applyFont="1" applyAlignment="1">
      <alignment/>
    </xf>
    <xf numFmtId="3" fontId="0" fillId="0" borderId="33" xfId="0" applyNumberFormat="1" applyFont="1" applyBorder="1" applyAlignment="1">
      <alignment/>
    </xf>
    <xf numFmtId="3" fontId="6" fillId="0" borderId="33" xfId="0" applyNumberFormat="1" applyFont="1" applyBorder="1" applyAlignment="1">
      <alignment/>
    </xf>
    <xf numFmtId="3" fontId="0" fillId="0" borderId="34" xfId="0" applyNumberFormat="1" applyFont="1" applyBorder="1" applyAlignment="1">
      <alignment/>
    </xf>
    <xf numFmtId="0" fontId="0" fillId="0" borderId="39" xfId="0" applyFont="1" applyBorder="1" applyAlignment="1">
      <alignment horizontal="center"/>
    </xf>
    <xf numFmtId="3" fontId="0" fillId="0" borderId="39" xfId="0" applyNumberFormat="1" applyFont="1" applyFill="1" applyBorder="1" applyAlignment="1">
      <alignment/>
    </xf>
    <xf numFmtId="3" fontId="0" fillId="0" borderId="39" xfId="0" applyNumberFormat="1" applyFont="1" applyBorder="1" applyAlignment="1">
      <alignment/>
    </xf>
    <xf numFmtId="0" fontId="0" fillId="0" borderId="35" xfId="0" applyFill="1" applyBorder="1" applyAlignment="1">
      <alignment/>
    </xf>
    <xf numFmtId="1" fontId="0" fillId="0" borderId="35" xfId="0" applyNumberFormat="1" applyFill="1" applyBorder="1" applyAlignment="1" applyProtection="1">
      <alignment/>
      <protection locked="0"/>
    </xf>
    <xf numFmtId="1" fontId="0" fillId="35" borderId="57" xfId="0" applyNumberFormat="1" applyFill="1" applyBorder="1" applyAlignment="1">
      <alignment/>
    </xf>
    <xf numFmtId="1" fontId="0" fillId="35" borderId="41" xfId="0" applyNumberFormat="1" applyFill="1" applyBorder="1" applyAlignment="1">
      <alignment/>
    </xf>
    <xf numFmtId="1" fontId="0" fillId="35" borderId="42" xfId="0" applyNumberFormat="1" applyFill="1" applyBorder="1" applyAlignment="1">
      <alignment/>
    </xf>
    <xf numFmtId="3" fontId="0" fillId="0" borderId="35" xfId="0" applyNumberFormat="1" applyFill="1" applyBorder="1" applyAlignment="1">
      <alignment/>
    </xf>
    <xf numFmtId="1" fontId="0" fillId="35" borderId="58" xfId="0" applyNumberFormat="1" applyFill="1" applyBorder="1" applyAlignment="1">
      <alignment/>
    </xf>
    <xf numFmtId="0" fontId="0" fillId="0" borderId="59" xfId="0" applyFill="1" applyBorder="1" applyAlignment="1">
      <alignment/>
    </xf>
    <xf numFmtId="0" fontId="0" fillId="0" borderId="60" xfId="0" applyFill="1" applyBorder="1" applyAlignment="1">
      <alignment/>
    </xf>
    <xf numFmtId="0" fontId="0" fillId="0" borderId="61" xfId="0" applyFill="1" applyBorder="1" applyAlignment="1">
      <alignment/>
    </xf>
    <xf numFmtId="0" fontId="0" fillId="0" borderId="62" xfId="0" applyFill="1" applyBorder="1" applyAlignment="1">
      <alignment/>
    </xf>
    <xf numFmtId="0" fontId="0" fillId="0" borderId="63" xfId="0" applyFill="1" applyBorder="1" applyAlignment="1">
      <alignment/>
    </xf>
    <xf numFmtId="4" fontId="1" fillId="0" borderId="0" xfId="0" applyNumberFormat="1" applyFont="1" applyFill="1" applyAlignment="1">
      <alignment/>
    </xf>
    <xf numFmtId="4" fontId="0" fillId="0" borderId="33" xfId="0" applyNumberFormat="1" applyFont="1" applyBorder="1" applyAlignment="1">
      <alignment/>
    </xf>
    <xf numFmtId="4" fontId="0" fillId="0" borderId="34" xfId="0" applyNumberFormat="1" applyFont="1" applyBorder="1" applyAlignment="1">
      <alignment/>
    </xf>
    <xf numFmtId="4" fontId="0" fillId="0" borderId="37" xfId="0" applyNumberFormat="1" applyFont="1" applyBorder="1" applyAlignment="1">
      <alignment/>
    </xf>
    <xf numFmtId="4" fontId="1" fillId="33" borderId="25" xfId="0" applyNumberFormat="1" applyFont="1" applyFill="1" applyBorder="1" applyAlignment="1">
      <alignment/>
    </xf>
    <xf numFmtId="4" fontId="1" fillId="33" borderId="27" xfId="0" applyNumberFormat="1" applyFont="1" applyFill="1" applyBorder="1" applyAlignment="1">
      <alignment/>
    </xf>
    <xf numFmtId="3" fontId="1" fillId="34" borderId="0" xfId="0" applyNumberFormat="1" applyFont="1" applyFill="1" applyAlignment="1">
      <alignment/>
    </xf>
    <xf numFmtId="4" fontId="0" fillId="0" borderId="33" xfId="0" applyNumberFormat="1" applyFont="1" applyFill="1" applyBorder="1" applyAlignment="1">
      <alignment/>
    </xf>
    <xf numFmtId="4" fontId="0" fillId="0" borderId="34" xfId="0" applyNumberFormat="1" applyFont="1" applyFill="1" applyBorder="1" applyAlignment="1">
      <alignment/>
    </xf>
    <xf numFmtId="4" fontId="0" fillId="0" borderId="37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31" xfId="0" applyNumberFormat="1" applyFont="1" applyBorder="1" applyAlignment="1">
      <alignment/>
    </xf>
    <xf numFmtId="4" fontId="0" fillId="0" borderId="39" xfId="0" applyNumberFormat="1" applyFont="1" applyBorder="1" applyAlignment="1">
      <alignment/>
    </xf>
    <xf numFmtId="4" fontId="1" fillId="34" borderId="37" xfId="0" applyNumberFormat="1" applyFont="1" applyFill="1" applyBorder="1" applyAlignment="1">
      <alignment/>
    </xf>
    <xf numFmtId="4" fontId="0" fillId="0" borderId="37" xfId="0" applyNumberFormat="1" applyFont="1" applyFill="1" applyBorder="1" applyAlignment="1">
      <alignment/>
    </xf>
    <xf numFmtId="4" fontId="0" fillId="0" borderId="31" xfId="0" applyNumberFormat="1" applyFont="1" applyFill="1" applyBorder="1" applyAlignment="1">
      <alignment/>
    </xf>
    <xf numFmtId="4" fontId="1" fillId="34" borderId="31" xfId="0" applyNumberFormat="1" applyFont="1" applyFill="1" applyBorder="1" applyAlignment="1">
      <alignment/>
    </xf>
    <xf numFmtId="4" fontId="0" fillId="0" borderId="37" xfId="0" applyNumberFormat="1" applyFont="1" applyFill="1" applyBorder="1" applyAlignment="1">
      <alignment/>
    </xf>
    <xf numFmtId="4" fontId="0" fillId="0" borderId="31" xfId="0" applyNumberFormat="1" applyFont="1" applyFill="1" applyBorder="1" applyAlignment="1">
      <alignment/>
    </xf>
    <xf numFmtId="4" fontId="0" fillId="0" borderId="33" xfId="0" applyNumberFormat="1" applyFont="1" applyFill="1" applyBorder="1" applyAlignment="1">
      <alignment/>
    </xf>
    <xf numFmtId="4" fontId="1" fillId="34" borderId="33" xfId="0" applyNumberFormat="1" applyFont="1" applyFill="1" applyBorder="1" applyAlignment="1">
      <alignment/>
    </xf>
    <xf numFmtId="4" fontId="0" fillId="0" borderId="31" xfId="0" applyNumberFormat="1" applyFont="1" applyBorder="1" applyAlignment="1">
      <alignment/>
    </xf>
    <xf numFmtId="4" fontId="0" fillId="0" borderId="33" xfId="0" applyNumberFormat="1" applyFont="1" applyBorder="1" applyAlignment="1">
      <alignment/>
    </xf>
    <xf numFmtId="4" fontId="1" fillId="34" borderId="33" xfId="0" applyNumberFormat="1" applyFont="1" applyFill="1" applyBorder="1" applyAlignment="1">
      <alignment/>
    </xf>
    <xf numFmtId="0" fontId="0" fillId="36" borderId="31" xfId="0" applyFont="1" applyFill="1" applyBorder="1" applyAlignment="1">
      <alignment/>
    </xf>
    <xf numFmtId="0" fontId="0" fillId="36" borderId="32" xfId="0" applyFont="1" applyFill="1" applyBorder="1" applyAlignment="1">
      <alignment/>
    </xf>
    <xf numFmtId="4" fontId="1" fillId="36" borderId="33" xfId="0" applyNumberFormat="1" applyFont="1" applyFill="1" applyBorder="1" applyAlignment="1">
      <alignment/>
    </xf>
    <xf numFmtId="0" fontId="1" fillId="36" borderId="31" xfId="0" applyFont="1" applyFill="1" applyBorder="1" applyAlignment="1">
      <alignment/>
    </xf>
    <xf numFmtId="0" fontId="1" fillId="36" borderId="32" xfId="0" applyFont="1" applyFill="1" applyBorder="1" applyAlignment="1">
      <alignment/>
    </xf>
    <xf numFmtId="0" fontId="1" fillId="36" borderId="13" xfId="0" applyFont="1" applyFill="1" applyBorder="1" applyAlignment="1">
      <alignment/>
    </xf>
    <xf numFmtId="0" fontId="1" fillId="36" borderId="14" xfId="0" applyFont="1" applyFill="1" applyBorder="1" applyAlignment="1">
      <alignment/>
    </xf>
    <xf numFmtId="4" fontId="1" fillId="36" borderId="17" xfId="0" applyNumberFormat="1" applyFont="1" applyFill="1" applyBorder="1" applyAlignment="1">
      <alignment/>
    </xf>
    <xf numFmtId="1" fontId="1" fillId="36" borderId="64" xfId="0" applyNumberFormat="1" applyFont="1" applyFill="1" applyBorder="1" applyAlignment="1">
      <alignment/>
    </xf>
    <xf numFmtId="0" fontId="1" fillId="34" borderId="65" xfId="0" applyFont="1" applyFill="1" applyBorder="1" applyAlignment="1">
      <alignment horizontal="right"/>
    </xf>
    <xf numFmtId="0" fontId="1" fillId="34" borderId="66" xfId="0" applyFont="1" applyFill="1" applyBorder="1" applyAlignment="1">
      <alignment horizontal="right"/>
    </xf>
    <xf numFmtId="4" fontId="1" fillId="34" borderId="67" xfId="0" applyNumberFormat="1" applyFont="1" applyFill="1" applyBorder="1" applyAlignment="1">
      <alignment/>
    </xf>
    <xf numFmtId="1" fontId="1" fillId="34" borderId="68" xfId="0" applyNumberFormat="1" applyFont="1" applyFill="1" applyBorder="1" applyAlignment="1">
      <alignment/>
    </xf>
    <xf numFmtId="1" fontId="0" fillId="0" borderId="39" xfId="0" applyNumberFormat="1" applyFont="1" applyBorder="1" applyAlignment="1">
      <alignment/>
    </xf>
    <xf numFmtId="4" fontId="0" fillId="0" borderId="37" xfId="0" applyNumberFormat="1" applyFont="1" applyBorder="1" applyAlignment="1">
      <alignment/>
    </xf>
    <xf numFmtId="4" fontId="1" fillId="36" borderId="37" xfId="0" applyNumberFormat="1" applyFont="1" applyFill="1" applyBorder="1" applyAlignment="1">
      <alignment/>
    </xf>
    <xf numFmtId="4" fontId="1" fillId="36" borderId="40" xfId="0" applyNumberFormat="1" applyFont="1" applyFill="1" applyBorder="1" applyAlignment="1">
      <alignment/>
    </xf>
    <xf numFmtId="4" fontId="0" fillId="0" borderId="69" xfId="0" applyNumberFormat="1" applyFont="1" applyFill="1" applyBorder="1" applyAlignment="1">
      <alignment/>
    </xf>
    <xf numFmtId="4" fontId="0" fillId="0" borderId="37" xfId="0" applyNumberFormat="1" applyFont="1" applyBorder="1" applyAlignment="1">
      <alignment/>
    </xf>
    <xf numFmtId="4" fontId="1" fillId="33" borderId="23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38" borderId="39" xfId="0" applyFill="1" applyBorder="1" applyAlignment="1">
      <alignment/>
    </xf>
    <xf numFmtId="49" fontId="0" fillId="38" borderId="39" xfId="0" applyNumberFormat="1" applyFill="1" applyBorder="1" applyAlignment="1">
      <alignment/>
    </xf>
    <xf numFmtId="0" fontId="9" fillId="38" borderId="39" xfId="0" applyFont="1" applyFill="1" applyBorder="1" applyAlignment="1">
      <alignment/>
    </xf>
    <xf numFmtId="0" fontId="0" fillId="7" borderId="39" xfId="0" applyFill="1" applyBorder="1" applyAlignment="1">
      <alignment/>
    </xf>
    <xf numFmtId="49" fontId="0" fillId="7" borderId="39" xfId="0" applyNumberFormat="1" applyFill="1" applyBorder="1" applyAlignment="1">
      <alignment/>
    </xf>
    <xf numFmtId="4" fontId="0" fillId="7" borderId="39" xfId="0" applyNumberFormat="1" applyFill="1" applyBorder="1" applyAlignment="1">
      <alignment/>
    </xf>
    <xf numFmtId="0" fontId="0" fillId="7" borderId="64" xfId="0" applyFill="1" applyBorder="1" applyAlignment="1">
      <alignment/>
    </xf>
    <xf numFmtId="49" fontId="0" fillId="7" borderId="64" xfId="0" applyNumberFormat="1" applyFill="1" applyBorder="1" applyAlignment="1">
      <alignment/>
    </xf>
    <xf numFmtId="4" fontId="0" fillId="7" borderId="64" xfId="0" applyNumberFormat="1" applyFill="1" applyBorder="1" applyAlignment="1">
      <alignment/>
    </xf>
    <xf numFmtId="0" fontId="1" fillId="7" borderId="70" xfId="0" applyFont="1" applyFill="1" applyBorder="1" applyAlignment="1">
      <alignment/>
    </xf>
    <xf numFmtId="49" fontId="1" fillId="7" borderId="71" xfId="0" applyNumberFormat="1" applyFont="1" applyFill="1" applyBorder="1" applyAlignment="1">
      <alignment/>
    </xf>
    <xf numFmtId="4" fontId="1" fillId="7" borderId="71" xfId="0" applyNumberFormat="1" applyFont="1" applyFill="1" applyBorder="1" applyAlignment="1">
      <alignment/>
    </xf>
    <xf numFmtId="0" fontId="0" fillId="6" borderId="72" xfId="0" applyFill="1" applyBorder="1" applyAlignment="1">
      <alignment/>
    </xf>
    <xf numFmtId="49" fontId="0" fillId="6" borderId="72" xfId="0" applyNumberFormat="1" applyFill="1" applyBorder="1" applyAlignment="1">
      <alignment/>
    </xf>
    <xf numFmtId="4" fontId="0" fillId="6" borderId="72" xfId="0" applyNumberFormat="1" applyFill="1" applyBorder="1" applyAlignment="1">
      <alignment/>
    </xf>
    <xf numFmtId="0" fontId="0" fillId="6" borderId="39" xfId="0" applyFill="1" applyBorder="1" applyAlignment="1">
      <alignment/>
    </xf>
    <xf numFmtId="49" fontId="0" fillId="6" borderId="39" xfId="0" applyNumberFormat="1" applyFill="1" applyBorder="1" applyAlignment="1">
      <alignment/>
    </xf>
    <xf numFmtId="4" fontId="0" fillId="6" borderId="39" xfId="0" applyNumberFormat="1" applyFill="1" applyBorder="1" applyAlignment="1">
      <alignment/>
    </xf>
    <xf numFmtId="0" fontId="0" fillId="6" borderId="64" xfId="0" applyFill="1" applyBorder="1" applyAlignment="1">
      <alignment/>
    </xf>
    <xf numFmtId="49" fontId="0" fillId="6" borderId="64" xfId="0" applyNumberFormat="1" applyFill="1" applyBorder="1" applyAlignment="1">
      <alignment/>
    </xf>
    <xf numFmtId="4" fontId="0" fillId="6" borderId="64" xfId="0" applyNumberFormat="1" applyFill="1" applyBorder="1" applyAlignment="1">
      <alignment/>
    </xf>
    <xf numFmtId="0" fontId="1" fillId="6" borderId="70" xfId="0" applyFont="1" applyFill="1" applyBorder="1" applyAlignment="1">
      <alignment/>
    </xf>
    <xf numFmtId="49" fontId="1" fillId="6" borderId="71" xfId="0" applyNumberFormat="1" applyFont="1" applyFill="1" applyBorder="1" applyAlignment="1">
      <alignment/>
    </xf>
    <xf numFmtId="4" fontId="1" fillId="6" borderId="71" xfId="0" applyNumberFormat="1" applyFont="1" applyFill="1" applyBorder="1" applyAlignment="1">
      <alignment/>
    </xf>
    <xf numFmtId="49" fontId="11" fillId="13" borderId="61" xfId="0" applyNumberFormat="1" applyFont="1" applyFill="1" applyBorder="1" applyAlignment="1">
      <alignment/>
    </xf>
    <xf numFmtId="4" fontId="11" fillId="13" borderId="62" xfId="0" applyNumberFormat="1" applyFont="1" applyFill="1" applyBorder="1" applyAlignment="1">
      <alignment/>
    </xf>
    <xf numFmtId="49" fontId="11" fillId="6" borderId="41" xfId="0" applyNumberFormat="1" applyFont="1" applyFill="1" applyBorder="1" applyAlignment="1">
      <alignment/>
    </xf>
    <xf numFmtId="4" fontId="11" fillId="6" borderId="57" xfId="0" applyNumberFormat="1" applyFont="1" applyFill="1" applyBorder="1" applyAlignment="1">
      <alignment/>
    </xf>
    <xf numFmtId="0" fontId="0" fillId="38" borderId="37" xfId="0" applyFill="1" applyBorder="1" applyAlignment="1">
      <alignment/>
    </xf>
    <xf numFmtId="0" fontId="0" fillId="38" borderId="73" xfId="0" applyFill="1" applyBorder="1" applyAlignment="1">
      <alignment/>
    </xf>
    <xf numFmtId="0" fontId="9" fillId="38" borderId="73" xfId="0" applyFont="1" applyFill="1" applyBorder="1" applyAlignment="1">
      <alignment/>
    </xf>
    <xf numFmtId="4" fontId="0" fillId="7" borderId="73" xfId="0" applyNumberFormat="1" applyFill="1" applyBorder="1" applyAlignment="1">
      <alignment/>
    </xf>
    <xf numFmtId="4" fontId="0" fillId="7" borderId="12" xfId="0" applyNumberFormat="1" applyFill="1" applyBorder="1" applyAlignment="1">
      <alignment/>
    </xf>
    <xf numFmtId="4" fontId="1" fillId="7" borderId="74" xfId="0" applyNumberFormat="1" applyFont="1" applyFill="1" applyBorder="1" applyAlignment="1">
      <alignment/>
    </xf>
    <xf numFmtId="4" fontId="0" fillId="6" borderId="34" xfId="0" applyNumberFormat="1" applyFill="1" applyBorder="1" applyAlignment="1">
      <alignment/>
    </xf>
    <xf numFmtId="4" fontId="0" fillId="6" borderId="73" xfId="0" applyNumberFormat="1" applyFill="1" applyBorder="1" applyAlignment="1">
      <alignment/>
    </xf>
    <xf numFmtId="4" fontId="0" fillId="6" borderId="12" xfId="0" applyNumberFormat="1" applyFill="1" applyBorder="1" applyAlignment="1">
      <alignment/>
    </xf>
    <xf numFmtId="4" fontId="1" fillId="6" borderId="74" xfId="0" applyNumberFormat="1" applyFont="1" applyFill="1" applyBorder="1" applyAlignment="1">
      <alignment/>
    </xf>
    <xf numFmtId="4" fontId="11" fillId="13" borderId="75" xfId="0" applyNumberFormat="1" applyFont="1" applyFill="1" applyBorder="1" applyAlignment="1">
      <alignment/>
    </xf>
    <xf numFmtId="4" fontId="11" fillId="6" borderId="76" xfId="0" applyNumberFormat="1" applyFont="1" applyFill="1" applyBorder="1" applyAlignment="1">
      <alignment/>
    </xf>
    <xf numFmtId="0" fontId="0" fillId="7" borderId="37" xfId="0" applyFill="1" applyBorder="1" applyAlignment="1">
      <alignment/>
    </xf>
    <xf numFmtId="0" fontId="0" fillId="7" borderId="77" xfId="0" applyFill="1" applyBorder="1" applyAlignment="1">
      <alignment/>
    </xf>
    <xf numFmtId="0" fontId="1" fillId="7" borderId="78" xfId="0" applyFont="1" applyFill="1" applyBorder="1" applyAlignment="1">
      <alignment/>
    </xf>
    <xf numFmtId="0" fontId="0" fillId="6" borderId="33" xfId="0" applyFill="1" applyBorder="1" applyAlignment="1">
      <alignment/>
    </xf>
    <xf numFmtId="0" fontId="0" fillId="6" borderId="37" xfId="0" applyFill="1" applyBorder="1" applyAlignment="1">
      <alignment/>
    </xf>
    <xf numFmtId="0" fontId="0" fillId="6" borderId="77" xfId="0" applyFill="1" applyBorder="1" applyAlignment="1">
      <alignment/>
    </xf>
    <xf numFmtId="0" fontId="1" fillId="6" borderId="78" xfId="0" applyFont="1" applyFill="1" applyBorder="1" applyAlignment="1">
      <alignment/>
    </xf>
    <xf numFmtId="0" fontId="11" fillId="13" borderId="79" xfId="0" applyFont="1" applyFill="1" applyBorder="1" applyAlignment="1">
      <alignment/>
    </xf>
    <xf numFmtId="0" fontId="11" fillId="6" borderId="80" xfId="0" applyFont="1" applyFill="1" applyBorder="1" applyAlignment="1">
      <alignment/>
    </xf>
    <xf numFmtId="4" fontId="9" fillId="0" borderId="33" xfId="0" applyNumberFormat="1" applyFont="1" applyBorder="1" applyAlignment="1">
      <alignment/>
    </xf>
    <xf numFmtId="0" fontId="0" fillId="38" borderId="81" xfId="0" applyFill="1" applyBorder="1" applyAlignment="1">
      <alignment/>
    </xf>
    <xf numFmtId="0" fontId="9" fillId="38" borderId="81" xfId="0" applyFont="1" applyFill="1" applyBorder="1" applyAlignment="1">
      <alignment/>
    </xf>
    <xf numFmtId="4" fontId="1" fillId="7" borderId="81" xfId="0" applyNumberFormat="1" applyFont="1" applyFill="1" applyBorder="1" applyAlignment="1">
      <alignment/>
    </xf>
    <xf numFmtId="4" fontId="1" fillId="7" borderId="82" xfId="0" applyNumberFormat="1" applyFont="1" applyFill="1" applyBorder="1" applyAlignment="1">
      <alignment/>
    </xf>
    <xf numFmtId="4" fontId="1" fillId="7" borderId="83" xfId="0" applyNumberFormat="1" applyFont="1" applyFill="1" applyBorder="1" applyAlignment="1">
      <alignment/>
    </xf>
    <xf numFmtId="4" fontId="1" fillId="6" borderId="84" xfId="0" applyNumberFormat="1" applyFont="1" applyFill="1" applyBorder="1" applyAlignment="1">
      <alignment/>
    </xf>
    <xf numFmtId="4" fontId="1" fillId="6" borderId="81" xfId="0" applyNumberFormat="1" applyFont="1" applyFill="1" applyBorder="1" applyAlignment="1">
      <alignment/>
    </xf>
    <xf numFmtId="4" fontId="1" fillId="6" borderId="82" xfId="0" applyNumberFormat="1" applyFont="1" applyFill="1" applyBorder="1" applyAlignment="1">
      <alignment/>
    </xf>
    <xf numFmtId="4" fontId="9" fillId="6" borderId="83" xfId="0" applyNumberFormat="1" applyFont="1" applyFill="1" applyBorder="1" applyAlignment="1">
      <alignment/>
    </xf>
    <xf numFmtId="4" fontId="12" fillId="13" borderId="85" xfId="0" applyNumberFormat="1" applyFont="1" applyFill="1" applyBorder="1" applyAlignment="1">
      <alignment/>
    </xf>
    <xf numFmtId="4" fontId="12" fillId="6" borderId="86" xfId="0" applyNumberFormat="1" applyFont="1" applyFill="1" applyBorder="1" applyAlignment="1">
      <alignment/>
    </xf>
    <xf numFmtId="4" fontId="1" fillId="36" borderId="87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0" fontId="1" fillId="36" borderId="87" xfId="0" applyFont="1" applyFill="1" applyBorder="1" applyAlignment="1">
      <alignment/>
    </xf>
    <xf numFmtId="4" fontId="9" fillId="39" borderId="88" xfId="0" applyNumberFormat="1" applyFont="1" applyFill="1" applyBorder="1" applyAlignment="1">
      <alignment/>
    </xf>
    <xf numFmtId="4" fontId="9" fillId="40" borderId="89" xfId="0" applyNumberFormat="1" applyFont="1" applyFill="1" applyBorder="1" applyAlignment="1">
      <alignment/>
    </xf>
    <xf numFmtId="4" fontId="9" fillId="35" borderId="89" xfId="0" applyNumberFormat="1" applyFont="1" applyFill="1" applyBorder="1" applyAlignment="1">
      <alignment/>
    </xf>
    <xf numFmtId="4" fontId="9" fillId="35" borderId="90" xfId="0" applyNumberFormat="1" applyFont="1" applyFill="1" applyBorder="1" applyAlignment="1">
      <alignment/>
    </xf>
    <xf numFmtId="4" fontId="9" fillId="35" borderId="91" xfId="0" applyNumberFormat="1" applyFont="1" applyFill="1" applyBorder="1" applyAlignment="1">
      <alignment/>
    </xf>
    <xf numFmtId="0" fontId="0" fillId="7" borderId="55" xfId="0" applyFill="1" applyBorder="1" applyAlignment="1">
      <alignment/>
    </xf>
    <xf numFmtId="0" fontId="0" fillId="6" borderId="92" xfId="0" applyFill="1" applyBorder="1" applyAlignment="1">
      <alignment/>
    </xf>
    <xf numFmtId="1" fontId="1" fillId="33" borderId="93" xfId="0" applyNumberFormat="1" applyFont="1" applyFill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77" xfId="0" applyFont="1" applyBorder="1" applyAlignment="1">
      <alignment horizontal="center"/>
    </xf>
    <xf numFmtId="0" fontId="0" fillId="0" borderId="94" xfId="0" applyFont="1" applyBorder="1" applyAlignment="1">
      <alignment horizontal="center"/>
    </xf>
    <xf numFmtId="0" fontId="0" fillId="0" borderId="69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1" fontId="1" fillId="0" borderId="16" xfId="0" applyNumberFormat="1" applyFont="1" applyBorder="1" applyAlignment="1">
      <alignment horizontal="center"/>
    </xf>
    <xf numFmtId="1" fontId="1" fillId="0" borderId="37" xfId="0" applyNumberFormat="1" applyFont="1" applyBorder="1" applyAlignment="1">
      <alignment horizontal="center"/>
    </xf>
    <xf numFmtId="0" fontId="0" fillId="0" borderId="95" xfId="0" applyFont="1" applyBorder="1" applyAlignment="1">
      <alignment horizontal="left" wrapText="1"/>
    </xf>
    <xf numFmtId="0" fontId="0" fillId="0" borderId="0" xfId="0" applyFont="1" applyAlignment="1">
      <alignment horizontal="left" wrapText="1"/>
    </xf>
    <xf numFmtId="1" fontId="0" fillId="0" borderId="13" xfId="0" applyNumberFormat="1" applyFont="1" applyFill="1" applyBorder="1" applyAlignment="1">
      <alignment horizontal="left" wrapText="1"/>
    </xf>
    <xf numFmtId="1" fontId="0" fillId="0" borderId="0" xfId="0" applyNumberFormat="1" applyFont="1" applyFill="1" applyBorder="1" applyAlignment="1">
      <alignment horizontal="left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Documents%20and%20Settings\Kozelsky\Plocha\HV%20FF%202012\Vysledovka%20HV%202012-1190-22-2-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Documents%20and%20Settings\Kozelsky\Plocha\HV%20FF%202012\Vysledovka%20HV1100-1650%202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Users\Strungova\AppData\Local\Temp\Temp1_HV%202013.zip\HV%202013\Vysledovka%2025-1190-zak&#225;zky-11-4-2014-HV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Users\Strungova\AppData\Local\Temp\Temp1_HV%202013.zip\HV%202013\Vysledovka%2025-1130-11-4-2014-HV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ysledovka HV 2012-1190-22-2-20"/>
    </sheetNames>
    <sheetDataSet>
      <sheetData sheetId="0">
        <row r="46">
          <cell r="E46" t="str">
            <v>daňově neuznatelné náklady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ysledovka HV1100-1650 25"/>
    </sheetNames>
    <sheetDataSet>
      <sheetData sheetId="0">
        <row r="205">
          <cell r="J205">
            <v>0.202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ysledovka po uctech obratova"/>
    </sheetNames>
    <sheetDataSet>
      <sheetData sheetId="0">
        <row r="85">
          <cell r="E85" t="str">
            <v>daňově neuznatelné náklady</v>
          </cell>
        </row>
        <row r="136">
          <cell r="E136" t="str">
            <v>daňově neuznatelné náklady</v>
          </cell>
        </row>
        <row r="234">
          <cell r="E234" t="str">
            <v>daňově neuznatelné náklady</v>
          </cell>
        </row>
        <row r="269">
          <cell r="E269" t="str">
            <v>daňově neuznatelné náklady</v>
          </cell>
        </row>
        <row r="283">
          <cell r="E283" t="str">
            <v>daňově neuznatelné náklady</v>
          </cell>
        </row>
        <row r="337">
          <cell r="E337" t="str">
            <v>daňově neuznatelné náklady</v>
          </cell>
        </row>
        <row r="379">
          <cell r="E379" t="str">
            <v>daňově neuznatelné náklady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ysledovka po uctech obratova"/>
    </sheetNames>
    <sheetDataSet>
      <sheetData sheetId="0">
        <row r="8">
          <cell r="E8" t="str">
            <v>zahraniční studenti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2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9.75390625" style="50" customWidth="1"/>
    <col min="2" max="2" width="9.125" style="50" customWidth="1"/>
    <col min="3" max="3" width="75.375" style="50" customWidth="1"/>
    <col min="4" max="4" width="21.625" style="50" customWidth="1"/>
    <col min="5" max="5" width="11.25390625" style="50" customWidth="1"/>
    <col min="6" max="16384" width="9.125" style="50" customWidth="1"/>
  </cols>
  <sheetData>
    <row r="1" ht="12.75">
      <c r="C1" s="100" t="s">
        <v>261</v>
      </c>
    </row>
    <row r="3" ht="12.75">
      <c r="A3" s="101" t="s">
        <v>175</v>
      </c>
    </row>
    <row r="4" ht="12.75">
      <c r="A4" s="101" t="s">
        <v>262</v>
      </c>
    </row>
    <row r="5" ht="12.75">
      <c r="A5" s="101"/>
    </row>
    <row r="6" ht="12.75">
      <c r="A6" s="93" t="s">
        <v>31</v>
      </c>
    </row>
    <row r="7" ht="12.75">
      <c r="A7" s="93" t="s">
        <v>32</v>
      </c>
    </row>
    <row r="8" ht="12.75">
      <c r="A8" s="93" t="s">
        <v>33</v>
      </c>
    </row>
    <row r="9" ht="12.75">
      <c r="A9" s="93" t="s">
        <v>34</v>
      </c>
    </row>
    <row r="10" ht="12.75">
      <c r="A10" s="93" t="s">
        <v>35</v>
      </c>
    </row>
    <row r="11" ht="12.75">
      <c r="A11" s="93"/>
    </row>
    <row r="12" ht="12.75">
      <c r="A12" s="101" t="s">
        <v>176</v>
      </c>
    </row>
    <row r="13" ht="12.75">
      <c r="A13" s="79" t="s">
        <v>263</v>
      </c>
    </row>
    <row r="14" ht="12.75">
      <c r="A14" s="79" t="s">
        <v>264</v>
      </c>
    </row>
    <row r="15" ht="12.75">
      <c r="A15" s="79" t="s">
        <v>238</v>
      </c>
    </row>
    <row r="16" ht="12.75">
      <c r="A16" s="79" t="s">
        <v>265</v>
      </c>
    </row>
    <row r="17" ht="12.75">
      <c r="A17" s="79" t="s">
        <v>266</v>
      </c>
    </row>
    <row r="18" ht="12.75">
      <c r="A18" s="79" t="s">
        <v>267</v>
      </c>
    </row>
    <row r="19" ht="12.75">
      <c r="A19" s="79" t="s">
        <v>268</v>
      </c>
    </row>
    <row r="20" ht="12.75">
      <c r="A20" s="79" t="s">
        <v>269</v>
      </c>
    </row>
    <row r="21" ht="12.75">
      <c r="A21" s="79" t="s">
        <v>271</v>
      </c>
    </row>
    <row r="22" ht="12.75">
      <c r="A22" s="79" t="s">
        <v>270</v>
      </c>
    </row>
    <row r="23" ht="12.75">
      <c r="A23" s="79" t="s">
        <v>272</v>
      </c>
    </row>
    <row r="24" ht="12.75">
      <c r="A24" s="79" t="s">
        <v>273</v>
      </c>
    </row>
    <row r="25" ht="12.75">
      <c r="A25" s="79"/>
    </row>
    <row r="26" ht="12.75">
      <c r="A26" s="101" t="s">
        <v>425</v>
      </c>
    </row>
    <row r="27" ht="12.75">
      <c r="A27" s="79" t="s">
        <v>274</v>
      </c>
    </row>
    <row r="28" ht="12.75">
      <c r="A28" s="79" t="s">
        <v>423</v>
      </c>
    </row>
    <row r="29" ht="12.75">
      <c r="A29" s="79" t="s">
        <v>424</v>
      </c>
    </row>
    <row r="30" ht="12.75">
      <c r="A30" s="79" t="s">
        <v>275</v>
      </c>
    </row>
    <row r="31" ht="12.75">
      <c r="A31" s="79"/>
    </row>
    <row r="32" ht="12.75">
      <c r="A32" s="100" t="s">
        <v>190</v>
      </c>
    </row>
    <row r="33" ht="12.75">
      <c r="A33" s="79" t="s">
        <v>347</v>
      </c>
    </row>
    <row r="34" ht="12.75">
      <c r="A34" s="79" t="s">
        <v>191</v>
      </c>
    </row>
    <row r="35" ht="12.75">
      <c r="A35" s="79"/>
    </row>
    <row r="36" ht="12.75">
      <c r="A36" s="101" t="s">
        <v>72</v>
      </c>
    </row>
    <row r="37" ht="12.75">
      <c r="A37" s="79" t="s">
        <v>426</v>
      </c>
    </row>
    <row r="38" ht="12.75">
      <c r="A38" s="79" t="s">
        <v>348</v>
      </c>
    </row>
    <row r="39" ht="12.75">
      <c r="A39" s="79" t="s">
        <v>177</v>
      </c>
    </row>
    <row r="40" ht="12.75">
      <c r="A40" s="79"/>
    </row>
    <row r="41" ht="12.75">
      <c r="A41" s="100" t="s">
        <v>75</v>
      </c>
    </row>
    <row r="42" ht="12.75">
      <c r="A42" s="148" t="s">
        <v>240</v>
      </c>
    </row>
    <row r="43" ht="12.75">
      <c r="A43" s="148" t="s">
        <v>241</v>
      </c>
    </row>
    <row r="44" ht="12.75">
      <c r="A44" s="148" t="s">
        <v>242</v>
      </c>
    </row>
    <row r="45" ht="12.75">
      <c r="A45" s="148" t="s">
        <v>239</v>
      </c>
    </row>
    <row r="46" ht="12.75">
      <c r="A46" s="93"/>
    </row>
    <row r="47" ht="12.75">
      <c r="A47" s="101" t="s">
        <v>23</v>
      </c>
    </row>
    <row r="48" ht="12.75">
      <c r="A48" s="50" t="s">
        <v>276</v>
      </c>
    </row>
    <row r="49" ht="12.75">
      <c r="A49" s="50" t="s">
        <v>109</v>
      </c>
    </row>
    <row r="50" ht="12.75">
      <c r="A50" s="50" t="s">
        <v>277</v>
      </c>
    </row>
    <row r="51" ht="13.5" thickBot="1"/>
    <row r="52" spans="1:3" ht="13.5" thickBot="1">
      <c r="A52" s="101" t="s">
        <v>24</v>
      </c>
      <c r="B52" s="102" t="s">
        <v>22</v>
      </c>
      <c r="C52" s="103" t="s">
        <v>12</v>
      </c>
    </row>
    <row r="53" spans="2:3" s="101" customFormat="1" ht="13.5" thickBot="1">
      <c r="B53" s="104" t="s">
        <v>11</v>
      </c>
      <c r="C53" s="105"/>
    </row>
    <row r="54" spans="2:3" ht="13.5" thickTop="1">
      <c r="B54" s="106">
        <v>1</v>
      </c>
      <c r="C54" s="96" t="s">
        <v>178</v>
      </c>
    </row>
    <row r="55" spans="2:3" ht="12.75">
      <c r="B55" s="106">
        <v>2</v>
      </c>
      <c r="C55" s="96" t="s">
        <v>192</v>
      </c>
    </row>
    <row r="56" spans="2:3" s="101" customFormat="1" ht="12.75">
      <c r="B56" s="107">
        <v>3</v>
      </c>
      <c r="C56" s="108" t="s">
        <v>182</v>
      </c>
    </row>
    <row r="57" spans="2:3" ht="12.75">
      <c r="B57" s="106">
        <v>4</v>
      </c>
      <c r="C57" s="96" t="s">
        <v>71</v>
      </c>
    </row>
    <row r="58" spans="2:3" ht="12.75">
      <c r="B58" s="106">
        <v>5</v>
      </c>
      <c r="C58" s="96" t="s">
        <v>73</v>
      </c>
    </row>
    <row r="59" spans="2:3" ht="12.75">
      <c r="B59" s="106">
        <v>6</v>
      </c>
      <c r="C59" s="96" t="s">
        <v>74</v>
      </c>
    </row>
    <row r="60" spans="2:3" ht="12.75">
      <c r="B60" s="109">
        <v>7</v>
      </c>
      <c r="C60" s="110" t="s">
        <v>427</v>
      </c>
    </row>
    <row r="61" spans="2:3" ht="12.75">
      <c r="B61" s="106">
        <v>8</v>
      </c>
      <c r="C61" s="96" t="s">
        <v>243</v>
      </c>
    </row>
    <row r="62" spans="2:3" ht="12.75">
      <c r="B62" s="106">
        <v>9</v>
      </c>
      <c r="C62" s="110" t="s">
        <v>244</v>
      </c>
    </row>
    <row r="63" spans="2:3" ht="12.75">
      <c r="B63" s="106">
        <v>10</v>
      </c>
      <c r="C63" s="96" t="s">
        <v>217</v>
      </c>
    </row>
    <row r="64" spans="2:3" ht="13.5" thickBot="1">
      <c r="B64" s="81"/>
      <c r="C64" s="82"/>
    </row>
    <row r="65" s="59" customFormat="1" ht="12.75">
      <c r="B65" s="80"/>
    </row>
    <row r="66" spans="1:3" ht="12.75">
      <c r="A66" s="50" t="s">
        <v>193</v>
      </c>
      <c r="B66" s="80"/>
      <c r="C66" s="59"/>
    </row>
    <row r="67" spans="2:3" ht="12.75">
      <c r="B67" s="80"/>
      <c r="C67" s="59"/>
    </row>
    <row r="68" ht="12.75">
      <c r="A68" s="50" t="s">
        <v>278</v>
      </c>
    </row>
    <row r="70" spans="1:2" ht="12.75">
      <c r="A70" s="50" t="s">
        <v>279</v>
      </c>
      <c r="B70" s="50" t="s">
        <v>216</v>
      </c>
    </row>
    <row r="72" spans="1:2" ht="12.75">
      <c r="A72" s="50" t="s">
        <v>280</v>
      </c>
      <c r="B72" s="50" t="s">
        <v>281</v>
      </c>
    </row>
  </sheetData>
  <sheetProtection/>
  <printOptions/>
  <pageMargins left="0.3937007874015748" right="0" top="0.5905511811023623" bottom="0.31496062992125984" header="0.5118110236220472" footer="0.11811023622047245"/>
  <pageSetup horizontalDpi="600" verticalDpi="600" orientation="portrait" paperSize="9" scale="85" r:id="rId1"/>
  <headerFooter alignWithMargins="0">
    <oddFooter>&amp;L&amp;Z&amp;F&amp;A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G21" sqref="G21:J21"/>
    </sheetView>
  </sheetViews>
  <sheetFormatPr defaultColWidth="9.00390625" defaultRowHeight="12.75"/>
  <cols>
    <col min="1" max="1" width="10.25390625" style="2" customWidth="1"/>
    <col min="2" max="2" width="7.875" style="2" customWidth="1"/>
    <col min="3" max="3" width="14.625" style="2" customWidth="1"/>
    <col min="4" max="4" width="14.75390625" style="2" customWidth="1"/>
    <col min="5" max="5" width="14.125" style="2" customWidth="1"/>
    <col min="6" max="6" width="8.75390625" style="2" customWidth="1"/>
    <col min="7" max="16384" width="9.125" style="2" customWidth="1"/>
  </cols>
  <sheetData>
    <row r="1" ht="12.75">
      <c r="A1" s="60" t="s">
        <v>392</v>
      </c>
    </row>
    <row r="2" spans="1:6" ht="12.75">
      <c r="A2" s="3" t="s">
        <v>37</v>
      </c>
      <c r="B2" s="4"/>
      <c r="C2" s="307" t="s">
        <v>47</v>
      </c>
      <c r="D2" s="309"/>
      <c r="E2" s="5" t="s">
        <v>15</v>
      </c>
      <c r="F2" s="164"/>
    </row>
    <row r="3" spans="1:6" ht="12.75">
      <c r="A3" s="6"/>
      <c r="B3" s="7"/>
      <c r="C3" s="310"/>
      <c r="D3" s="312"/>
      <c r="E3" s="8" t="s">
        <v>48</v>
      </c>
      <c r="F3" s="164"/>
    </row>
    <row r="4" spans="1:6" ht="12.75">
      <c r="A4" s="6"/>
      <c r="B4" s="7"/>
      <c r="C4" s="9" t="s">
        <v>2</v>
      </c>
      <c r="D4" s="40" t="s">
        <v>1</v>
      </c>
      <c r="E4" s="11"/>
      <c r="F4" s="165"/>
    </row>
    <row r="5" spans="1:6" ht="12.75">
      <c r="A5" s="6"/>
      <c r="B5" s="7"/>
      <c r="C5" s="10"/>
      <c r="D5" s="10"/>
      <c r="E5" s="11"/>
      <c r="F5" s="165"/>
    </row>
    <row r="6" spans="1:6" ht="12.75">
      <c r="A6" s="12"/>
      <c r="B6" s="7"/>
      <c r="C6" s="10"/>
      <c r="D6" s="10"/>
      <c r="E6" s="13"/>
      <c r="F6" s="166"/>
    </row>
    <row r="7" spans="1:6" ht="13.5" thickBot="1">
      <c r="A7" s="14"/>
      <c r="B7" s="15"/>
      <c r="C7" s="16" t="s">
        <v>76</v>
      </c>
      <c r="D7" s="16" t="s">
        <v>76</v>
      </c>
      <c r="E7" s="17" t="s">
        <v>76</v>
      </c>
      <c r="F7" s="10"/>
    </row>
    <row r="8" spans="1:6" ht="13.5" thickTop="1">
      <c r="A8" s="18" t="s">
        <v>6</v>
      </c>
      <c r="B8" s="19"/>
      <c r="C8" s="20" t="s">
        <v>7</v>
      </c>
      <c r="D8" s="22" t="s">
        <v>8</v>
      </c>
      <c r="E8" s="23" t="s">
        <v>9</v>
      </c>
      <c r="F8" s="153"/>
    </row>
    <row r="9" spans="1:6" ht="13.5" thickBot="1">
      <c r="A9" s="24" t="s">
        <v>10</v>
      </c>
      <c r="B9" s="25"/>
      <c r="C9" s="26"/>
      <c r="D9" s="28"/>
      <c r="E9" s="29" t="s">
        <v>17</v>
      </c>
      <c r="F9" s="153"/>
    </row>
    <row r="10" spans="1:6" ht="13.5" thickTop="1">
      <c r="A10" s="85" t="s">
        <v>54</v>
      </c>
      <c r="B10" s="86" t="s">
        <v>222</v>
      </c>
      <c r="C10" s="153"/>
      <c r="D10" s="153"/>
      <c r="E10" s="154"/>
      <c r="F10" s="153" t="s">
        <v>77</v>
      </c>
    </row>
    <row r="11" spans="1:7" ht="12.75">
      <c r="A11" s="132">
        <v>25220</v>
      </c>
      <c r="B11" s="133">
        <v>1420</v>
      </c>
      <c r="C11" s="229">
        <v>17826.01</v>
      </c>
      <c r="D11" s="229">
        <v>17826.01</v>
      </c>
      <c r="E11" s="212">
        <f aca="true" t="shared" si="0" ref="E11:E17">C11-D11</f>
        <v>0</v>
      </c>
      <c r="F11" s="167">
        <v>4202</v>
      </c>
      <c r="G11" s="68" t="s">
        <v>395</v>
      </c>
    </row>
    <row r="12" spans="1:7" ht="12.75">
      <c r="A12" s="132">
        <v>25220</v>
      </c>
      <c r="B12" s="133">
        <v>1420</v>
      </c>
      <c r="C12" s="229">
        <v>67463.37</v>
      </c>
      <c r="D12" s="229">
        <v>67463.37</v>
      </c>
      <c r="E12" s="212">
        <f t="shared" si="0"/>
        <v>0</v>
      </c>
      <c r="F12" s="167">
        <v>4204</v>
      </c>
      <c r="G12" s="68" t="s">
        <v>396</v>
      </c>
    </row>
    <row r="13" spans="1:7" ht="12.75">
      <c r="A13" s="132">
        <v>25700</v>
      </c>
      <c r="B13" s="133">
        <v>1420</v>
      </c>
      <c r="C13" s="229">
        <v>21387.69</v>
      </c>
      <c r="D13" s="229">
        <v>21387.69</v>
      </c>
      <c r="E13" s="212">
        <f t="shared" si="0"/>
        <v>0</v>
      </c>
      <c r="F13" s="167">
        <v>4203</v>
      </c>
      <c r="G13" s="68" t="s">
        <v>397</v>
      </c>
    </row>
    <row r="14" spans="1:7" ht="12.75">
      <c r="A14" s="155">
        <v>25</v>
      </c>
      <c r="B14" s="156">
        <v>1420</v>
      </c>
      <c r="C14" s="230">
        <f>SUM(C11:C13)</f>
        <v>106677.06999999999</v>
      </c>
      <c r="D14" s="230">
        <f>SUM(D11:D13)</f>
        <v>106677.06999999999</v>
      </c>
      <c r="E14" s="230">
        <f>SUM(E11:E13)</f>
        <v>0</v>
      </c>
      <c r="F14" s="168" t="s">
        <v>21</v>
      </c>
      <c r="G14" s="49"/>
    </row>
    <row r="15" spans="1:7" ht="12.75">
      <c r="A15" s="34">
        <v>25600</v>
      </c>
      <c r="B15" s="35">
        <v>1800</v>
      </c>
      <c r="C15" s="194">
        <v>10000</v>
      </c>
      <c r="D15" s="194">
        <v>10000</v>
      </c>
      <c r="E15" s="202">
        <f t="shared" si="0"/>
        <v>0</v>
      </c>
      <c r="F15" s="169">
        <v>8244</v>
      </c>
      <c r="G15" s="67" t="s">
        <v>398</v>
      </c>
    </row>
    <row r="16" spans="1:7" ht="12.75">
      <c r="A16" s="34">
        <v>25800</v>
      </c>
      <c r="B16" s="35">
        <v>1800</v>
      </c>
      <c r="C16" s="194">
        <v>10000</v>
      </c>
      <c r="D16" s="194">
        <v>10000</v>
      </c>
      <c r="E16" s="202">
        <f t="shared" si="0"/>
        <v>0</v>
      </c>
      <c r="F16" s="169">
        <v>8034</v>
      </c>
      <c r="G16" s="67" t="s">
        <v>399</v>
      </c>
    </row>
    <row r="17" spans="1:7" ht="12.75">
      <c r="A17" s="34">
        <v>25800</v>
      </c>
      <c r="B17" s="35">
        <v>1800</v>
      </c>
      <c r="C17" s="194">
        <v>40000</v>
      </c>
      <c r="D17" s="194">
        <v>40000</v>
      </c>
      <c r="E17" s="202">
        <f t="shared" si="0"/>
        <v>0</v>
      </c>
      <c r="F17" s="169">
        <v>8124</v>
      </c>
      <c r="G17" s="67" t="s">
        <v>400</v>
      </c>
    </row>
    <row r="18" spans="1:7" ht="12.75">
      <c r="A18" s="34">
        <v>25900</v>
      </c>
      <c r="B18" s="35">
        <v>1800</v>
      </c>
      <c r="C18" s="194">
        <v>7000</v>
      </c>
      <c r="D18" s="194">
        <v>7000</v>
      </c>
      <c r="E18" s="202">
        <f>C18-D18</f>
        <v>0</v>
      </c>
      <c r="F18" s="169">
        <v>8204</v>
      </c>
      <c r="G18" s="67" t="s">
        <v>401</v>
      </c>
    </row>
    <row r="19" spans="1:7" ht="12.75">
      <c r="A19" s="34">
        <v>25900</v>
      </c>
      <c r="B19" s="35">
        <v>1800</v>
      </c>
      <c r="C19" s="194">
        <v>15000</v>
      </c>
      <c r="D19" s="194">
        <v>15000</v>
      </c>
      <c r="E19" s="202">
        <f>C19-D19</f>
        <v>0</v>
      </c>
      <c r="F19" s="169">
        <v>8234</v>
      </c>
      <c r="G19" s="67" t="s">
        <v>402</v>
      </c>
    </row>
    <row r="20" spans="1:7" ht="12.75">
      <c r="A20" s="155">
        <v>25</v>
      </c>
      <c r="B20" s="156">
        <v>1800</v>
      </c>
      <c r="C20" s="230">
        <f>SUM(C15:C19)</f>
        <v>82000</v>
      </c>
      <c r="D20" s="230">
        <f>SUM(D15:D19)</f>
        <v>82000</v>
      </c>
      <c r="E20" s="231">
        <f>SUM(E15:E19)</f>
        <v>0</v>
      </c>
      <c r="F20" s="168" t="s">
        <v>21</v>
      </c>
      <c r="G20" s="137"/>
    </row>
    <row r="21" spans="1:10" ht="28.5" customHeight="1">
      <c r="A21" s="145">
        <v>25300</v>
      </c>
      <c r="B21" s="146">
        <v>9100</v>
      </c>
      <c r="C21" s="208">
        <v>327280</v>
      </c>
      <c r="D21" s="208">
        <v>217038.56</v>
      </c>
      <c r="E21" s="232">
        <f>C21-D21</f>
        <v>110241.44</v>
      </c>
      <c r="F21" s="147">
        <v>9014</v>
      </c>
      <c r="G21" s="317" t="s">
        <v>403</v>
      </c>
      <c r="H21" s="318"/>
      <c r="I21" s="318"/>
      <c r="J21" s="318"/>
    </row>
    <row r="22" spans="1:7" ht="12.75">
      <c r="A22" s="145">
        <v>25300</v>
      </c>
      <c r="B22" s="146">
        <v>9100</v>
      </c>
      <c r="C22" s="208">
        <v>41000</v>
      </c>
      <c r="D22" s="208">
        <v>33030.98</v>
      </c>
      <c r="E22" s="232">
        <f>C22-D22</f>
        <v>7969.019999999997</v>
      </c>
      <c r="F22" s="147">
        <v>9104</v>
      </c>
      <c r="G22" s="235" t="s">
        <v>404</v>
      </c>
    </row>
    <row r="23" spans="1:7" ht="12.75">
      <c r="A23" s="145">
        <v>25820</v>
      </c>
      <c r="B23" s="146">
        <v>9100</v>
      </c>
      <c r="C23" s="233">
        <v>190000</v>
      </c>
      <c r="D23" s="233">
        <v>139410</v>
      </c>
      <c r="E23" s="232">
        <f>C23-D23</f>
        <v>50590</v>
      </c>
      <c r="F23" s="228">
        <v>9074</v>
      </c>
      <c r="G23" s="67" t="s">
        <v>405</v>
      </c>
    </row>
    <row r="24" spans="1:7" ht="13.5" thickBot="1">
      <c r="A24" s="155">
        <v>25</v>
      </c>
      <c r="B24" s="156">
        <v>9100</v>
      </c>
      <c r="C24" s="230">
        <f>SUM(C21:C23)</f>
        <v>558280</v>
      </c>
      <c r="D24" s="230">
        <f>SUM(D21:D23)</f>
        <v>389479.54000000004</v>
      </c>
      <c r="E24" s="230">
        <f>SUM(E21:E23)</f>
        <v>168800.46</v>
      </c>
      <c r="F24" s="168" t="s">
        <v>21</v>
      </c>
      <c r="G24" s="137"/>
    </row>
    <row r="25" spans="1:6" ht="13.5" thickTop="1">
      <c r="A25" s="37" t="s">
        <v>5</v>
      </c>
      <c r="B25" s="38"/>
      <c r="C25" s="195">
        <f>C24</f>
        <v>558280</v>
      </c>
      <c r="D25" s="195">
        <f>D24</f>
        <v>389479.54000000004</v>
      </c>
      <c r="E25" s="234">
        <f>E24</f>
        <v>168800.46</v>
      </c>
      <c r="F25" s="170"/>
    </row>
    <row r="26" spans="3:6" ht="12.75">
      <c r="C26" s="197">
        <f>C25/1000</f>
        <v>558.28</v>
      </c>
      <c r="D26" s="197">
        <f>D25/1000</f>
        <v>389.47954000000004</v>
      </c>
      <c r="E26" s="197">
        <f>E25/1000</f>
        <v>168.80046</v>
      </c>
      <c r="F26" s="47"/>
    </row>
    <row r="29" ht="12.75">
      <c r="A29" s="2" t="s">
        <v>393</v>
      </c>
    </row>
    <row r="30" spans="1:4" ht="12.75">
      <c r="A30" s="2" t="s">
        <v>394</v>
      </c>
      <c r="D30" s="78"/>
    </row>
  </sheetData>
  <sheetProtection/>
  <mergeCells count="2">
    <mergeCell ref="C2:D3"/>
    <mergeCell ref="G21:J21"/>
  </mergeCells>
  <printOptions/>
  <pageMargins left="0" right="0" top="0.984251968503937" bottom="0.984251968503937" header="0.5118110236220472" footer="0.5118110236220472"/>
  <pageSetup horizontalDpi="600" verticalDpi="600" orientation="portrait" paperSize="9" scale="95" r:id="rId1"/>
  <headerFooter alignWithMargins="0">
    <oddFooter>&amp;L&amp;F&amp;A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X94"/>
  <sheetViews>
    <sheetView zoomScale="90" zoomScaleNormal="90" zoomScalePageLayoutView="0" workbookViewId="0" topLeftCell="A1">
      <pane xSplit="2" topLeftCell="F1" activePane="topRight" state="frozen"/>
      <selection pane="topLeft" activeCell="A1" sqref="A1"/>
      <selection pane="topRight" activeCell="A1" sqref="A1"/>
    </sheetView>
  </sheetViews>
  <sheetFormatPr defaultColWidth="9.00390625" defaultRowHeight="12.75"/>
  <cols>
    <col min="1" max="1" width="4.875" style="0" customWidth="1"/>
    <col min="2" max="2" width="4.375" style="92" customWidth="1"/>
    <col min="3" max="3" width="15.125" style="0" customWidth="1"/>
    <col min="4" max="4" width="13.625" style="0" customWidth="1"/>
    <col min="5" max="5" width="11.125" style="0" customWidth="1"/>
    <col min="6" max="6" width="13.25390625" style="0" customWidth="1"/>
    <col min="7" max="9" width="12.875" style="0" customWidth="1"/>
    <col min="10" max="10" width="11.125" style="0" customWidth="1"/>
    <col min="11" max="11" width="12.875" style="0" customWidth="1"/>
    <col min="12" max="12" width="13.375" style="0" customWidth="1"/>
    <col min="13" max="13" width="11.625" style="0" bestFit="1" customWidth="1"/>
    <col min="14" max="14" width="12.875" style="0" customWidth="1"/>
    <col min="15" max="15" width="11.625" style="0" customWidth="1"/>
    <col min="16" max="16" width="14.125" style="0" customWidth="1"/>
    <col min="17" max="17" width="11.625" style="0" bestFit="1" customWidth="1"/>
    <col min="18" max="18" width="11.375" style="0" customWidth="1"/>
    <col min="19" max="19" width="13.25390625" style="0" bestFit="1" customWidth="1"/>
    <col min="20" max="20" width="11.25390625" style="0" customWidth="1"/>
    <col min="21" max="21" width="11.625" style="0" customWidth="1"/>
    <col min="22" max="22" width="16.75390625" style="0" customWidth="1"/>
    <col min="23" max="23" width="22.00390625" style="0" customWidth="1"/>
    <col min="24" max="24" width="10.125" style="0" bestFit="1" customWidth="1"/>
  </cols>
  <sheetData>
    <row r="1" spans="1:23" ht="12.75">
      <c r="A1" s="60" t="s">
        <v>110</v>
      </c>
      <c r="B1" s="91"/>
      <c r="C1" s="55"/>
      <c r="D1" s="55"/>
      <c r="E1" s="55"/>
      <c r="F1" s="55"/>
      <c r="G1" s="55" t="s">
        <v>406</v>
      </c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</row>
    <row r="2" spans="1:23" ht="12.75">
      <c r="A2" s="236"/>
      <c r="B2" s="237"/>
      <c r="C2" s="236" t="s">
        <v>39</v>
      </c>
      <c r="D2" s="236" t="s">
        <v>78</v>
      </c>
      <c r="E2" s="236" t="s">
        <v>49</v>
      </c>
      <c r="F2" s="236" t="s">
        <v>226</v>
      </c>
      <c r="G2" s="236" t="s">
        <v>79</v>
      </c>
      <c r="H2" s="236" t="s">
        <v>80</v>
      </c>
      <c r="I2" s="236" t="s">
        <v>223</v>
      </c>
      <c r="J2" s="236" t="s">
        <v>195</v>
      </c>
      <c r="K2" s="236" t="s">
        <v>204</v>
      </c>
      <c r="L2" s="236" t="s">
        <v>196</v>
      </c>
      <c r="M2" s="236" t="s">
        <v>418</v>
      </c>
      <c r="N2" s="236" t="s">
        <v>202</v>
      </c>
      <c r="O2" s="236" t="s">
        <v>203</v>
      </c>
      <c r="P2" s="236" t="s">
        <v>225</v>
      </c>
      <c r="Q2" s="236" t="s">
        <v>194</v>
      </c>
      <c r="R2" s="236" t="s">
        <v>43</v>
      </c>
      <c r="S2" s="236" t="s">
        <v>50</v>
      </c>
      <c r="T2" s="236" t="s">
        <v>81</v>
      </c>
      <c r="U2" s="265" t="s">
        <v>82</v>
      </c>
      <c r="V2" s="286"/>
      <c r="W2" s="264" t="s">
        <v>12</v>
      </c>
    </row>
    <row r="3" spans="1:23" ht="12.75">
      <c r="A3" s="236" t="s">
        <v>83</v>
      </c>
      <c r="B3" s="237" t="s">
        <v>84</v>
      </c>
      <c r="C3" s="238">
        <v>1100</v>
      </c>
      <c r="D3" s="238">
        <v>1101</v>
      </c>
      <c r="E3" s="238">
        <v>1102</v>
      </c>
      <c r="F3" s="238">
        <v>1610</v>
      </c>
      <c r="G3" s="238">
        <v>1190</v>
      </c>
      <c r="H3" s="238">
        <v>1120</v>
      </c>
      <c r="I3" s="238">
        <v>1130</v>
      </c>
      <c r="J3" s="238">
        <v>1240</v>
      </c>
      <c r="K3" s="238">
        <v>1350</v>
      </c>
      <c r="L3" s="238">
        <v>1355</v>
      </c>
      <c r="M3" s="238">
        <v>1310</v>
      </c>
      <c r="N3" s="238">
        <v>1184</v>
      </c>
      <c r="O3" s="238">
        <v>1188</v>
      </c>
      <c r="P3" s="238">
        <v>1650</v>
      </c>
      <c r="Q3" s="238">
        <v>1230</v>
      </c>
      <c r="R3" s="238">
        <v>1420</v>
      </c>
      <c r="S3" s="238">
        <v>1680</v>
      </c>
      <c r="T3" s="238">
        <v>1800</v>
      </c>
      <c r="U3" s="266">
        <v>9100</v>
      </c>
      <c r="V3" s="287" t="s">
        <v>36</v>
      </c>
      <c r="W3" s="264"/>
    </row>
    <row r="4" spans="1:23" ht="12.75">
      <c r="A4" s="239">
        <v>501</v>
      </c>
      <c r="B4" s="240" t="s">
        <v>85</v>
      </c>
      <c r="C4" s="241">
        <v>394654.33</v>
      </c>
      <c r="D4" s="241">
        <v>1900</v>
      </c>
      <c r="E4" s="241"/>
      <c r="F4" s="241">
        <v>257578.2</v>
      </c>
      <c r="G4" s="241">
        <v>12090.26</v>
      </c>
      <c r="H4" s="241"/>
      <c r="I4" s="241">
        <v>19608</v>
      </c>
      <c r="J4" s="241"/>
      <c r="K4" s="241">
        <v>72017.82</v>
      </c>
      <c r="L4" s="241">
        <v>177117.33</v>
      </c>
      <c r="M4" s="241">
        <v>66299.5</v>
      </c>
      <c r="N4" s="241">
        <v>75792.91</v>
      </c>
      <c r="O4" s="241">
        <v>5476.61</v>
      </c>
      <c r="P4" s="241">
        <v>29634</v>
      </c>
      <c r="Q4" s="241">
        <v>10000</v>
      </c>
      <c r="R4" s="241">
        <v>11810.49</v>
      </c>
      <c r="S4" s="241">
        <v>90225.23</v>
      </c>
      <c r="T4" s="241">
        <v>5523.02</v>
      </c>
      <c r="U4" s="267">
        <v>3087.87</v>
      </c>
      <c r="V4" s="288">
        <f aca="true" t="shared" si="0" ref="V4:V28">SUM(C4:U4)</f>
        <v>1232815.5700000003</v>
      </c>
      <c r="W4" s="276" t="s">
        <v>111</v>
      </c>
    </row>
    <row r="5" spans="1:23" ht="12.75">
      <c r="A5" s="239"/>
      <c r="B5" s="240" t="s">
        <v>87</v>
      </c>
      <c r="C5" s="241">
        <v>860399.1</v>
      </c>
      <c r="D5" s="241"/>
      <c r="E5" s="241"/>
      <c r="F5" s="241">
        <v>158356.33</v>
      </c>
      <c r="G5" s="241"/>
      <c r="H5" s="241"/>
      <c r="I5" s="241"/>
      <c r="J5" s="241"/>
      <c r="K5" s="241"/>
      <c r="L5" s="241">
        <v>17482.8</v>
      </c>
      <c r="M5" s="241">
        <v>28783.55</v>
      </c>
      <c r="N5" s="241">
        <v>86230.76</v>
      </c>
      <c r="O5" s="241"/>
      <c r="P5" s="241">
        <v>63296.97</v>
      </c>
      <c r="Q5" s="241"/>
      <c r="R5" s="241"/>
      <c r="S5" s="241">
        <v>1909</v>
      </c>
      <c r="T5" s="241"/>
      <c r="U5" s="267"/>
      <c r="V5" s="288">
        <f>SUM(C5:U5)</f>
        <v>1216458.51</v>
      </c>
      <c r="W5" s="276" t="s">
        <v>421</v>
      </c>
    </row>
    <row r="6" spans="1:23" ht="12.75">
      <c r="A6" s="239"/>
      <c r="B6" s="240" t="s">
        <v>89</v>
      </c>
      <c r="C6" s="241">
        <v>19817.64</v>
      </c>
      <c r="D6" s="241"/>
      <c r="E6" s="241"/>
      <c r="F6" s="241">
        <v>3247</v>
      </c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67"/>
      <c r="V6" s="288">
        <f t="shared" si="0"/>
        <v>23064.64</v>
      </c>
      <c r="W6" s="276" t="s">
        <v>140</v>
      </c>
    </row>
    <row r="7" spans="1:23" ht="12.75">
      <c r="A7" s="239">
        <v>503</v>
      </c>
      <c r="B7" s="240" t="s">
        <v>85</v>
      </c>
      <c r="C7" s="241">
        <v>173199.69</v>
      </c>
      <c r="D7" s="241"/>
      <c r="E7" s="241"/>
      <c r="F7" s="241">
        <v>242748.9</v>
      </c>
      <c r="G7" s="241"/>
      <c r="H7" s="241"/>
      <c r="I7" s="241"/>
      <c r="J7" s="241"/>
      <c r="K7" s="241">
        <v>70469</v>
      </c>
      <c r="L7" s="241">
        <v>2949</v>
      </c>
      <c r="M7" s="241"/>
      <c r="N7" s="241">
        <v>35537.71</v>
      </c>
      <c r="O7" s="241"/>
      <c r="P7" s="241">
        <v>30727.29</v>
      </c>
      <c r="Q7" s="241">
        <v>35400</v>
      </c>
      <c r="R7" s="241"/>
      <c r="S7" s="241">
        <v>52155.39</v>
      </c>
      <c r="T7" s="241">
        <v>499</v>
      </c>
      <c r="U7" s="267">
        <v>344.35</v>
      </c>
      <c r="V7" s="288">
        <f t="shared" si="0"/>
        <v>644030.33</v>
      </c>
      <c r="W7" s="276" t="s">
        <v>420</v>
      </c>
    </row>
    <row r="8" spans="1:23" ht="12.75">
      <c r="A8" s="239"/>
      <c r="B8" s="240" t="s">
        <v>86</v>
      </c>
      <c r="C8" s="241"/>
      <c r="D8" s="241"/>
      <c r="E8" s="241"/>
      <c r="F8" s="241"/>
      <c r="G8" s="241">
        <v>60</v>
      </c>
      <c r="H8" s="241"/>
      <c r="I8" s="241"/>
      <c r="J8" s="241"/>
      <c r="K8" s="241"/>
      <c r="L8" s="241"/>
      <c r="M8" s="241"/>
      <c r="N8" s="241"/>
      <c r="O8" s="241"/>
      <c r="P8" s="241"/>
      <c r="Q8" s="241"/>
      <c r="R8" s="241"/>
      <c r="S8" s="241"/>
      <c r="T8" s="241"/>
      <c r="U8" s="267"/>
      <c r="V8" s="288">
        <f t="shared" si="0"/>
        <v>60</v>
      </c>
      <c r="W8" s="276" t="s">
        <v>141</v>
      </c>
    </row>
    <row r="9" spans="1:23" ht="12.75">
      <c r="A9" s="239"/>
      <c r="B9" s="240" t="s">
        <v>89</v>
      </c>
      <c r="C9" s="241">
        <v>2578.74</v>
      </c>
      <c r="D9" s="241"/>
      <c r="E9" s="241"/>
      <c r="F9" s="241"/>
      <c r="G9" s="241"/>
      <c r="H9" s="241"/>
      <c r="I9" s="241"/>
      <c r="J9" s="241"/>
      <c r="K9" s="241"/>
      <c r="L9" s="241"/>
      <c r="M9" s="241"/>
      <c r="N9" s="241"/>
      <c r="O9" s="241"/>
      <c r="P9" s="241"/>
      <c r="Q9" s="241"/>
      <c r="R9" s="241"/>
      <c r="S9" s="241"/>
      <c r="T9" s="241"/>
      <c r="U9" s="267"/>
      <c r="V9" s="288">
        <f t="shared" si="0"/>
        <v>2578.74</v>
      </c>
      <c r="W9" s="276" t="s">
        <v>407</v>
      </c>
    </row>
    <row r="10" spans="1:23" ht="12.75">
      <c r="A10" s="239">
        <v>504</v>
      </c>
      <c r="B10" s="240" t="s">
        <v>85</v>
      </c>
      <c r="C10" s="241"/>
      <c r="D10" s="241"/>
      <c r="E10" s="241"/>
      <c r="F10" s="241"/>
      <c r="G10" s="241">
        <v>20155.28</v>
      </c>
      <c r="H10" s="241"/>
      <c r="I10" s="241"/>
      <c r="J10" s="241"/>
      <c r="K10" s="241"/>
      <c r="L10" s="241"/>
      <c r="M10" s="241"/>
      <c r="N10" s="241"/>
      <c r="O10" s="241"/>
      <c r="P10" s="241"/>
      <c r="Q10" s="241"/>
      <c r="R10" s="241"/>
      <c r="S10" s="241"/>
      <c r="T10" s="241"/>
      <c r="U10" s="267"/>
      <c r="V10" s="288">
        <f t="shared" si="0"/>
        <v>20155.28</v>
      </c>
      <c r="W10" s="276" t="s">
        <v>246</v>
      </c>
    </row>
    <row r="11" spans="1:23" ht="12.75">
      <c r="A11" s="239">
        <v>511</v>
      </c>
      <c r="B11" s="240" t="s">
        <v>87</v>
      </c>
      <c r="C11" s="241">
        <v>4572772.83</v>
      </c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1"/>
      <c r="Q11" s="241"/>
      <c r="R11" s="241"/>
      <c r="S11" s="241"/>
      <c r="T11" s="241"/>
      <c r="U11" s="267"/>
      <c r="V11" s="288">
        <f t="shared" si="0"/>
        <v>4572772.83</v>
      </c>
      <c r="W11" s="276" t="s">
        <v>112</v>
      </c>
    </row>
    <row r="12" spans="1:23" ht="12.75">
      <c r="A12" s="239"/>
      <c r="B12" s="240" t="s">
        <v>89</v>
      </c>
      <c r="C12" s="241">
        <v>70209.56</v>
      </c>
      <c r="D12" s="241"/>
      <c r="E12" s="241"/>
      <c r="F12" s="241">
        <v>9542</v>
      </c>
      <c r="G12" s="241"/>
      <c r="H12" s="241"/>
      <c r="I12" s="241"/>
      <c r="J12" s="241"/>
      <c r="K12" s="241"/>
      <c r="L12" s="241">
        <v>1561</v>
      </c>
      <c r="M12" s="241">
        <v>24529.5</v>
      </c>
      <c r="N12" s="241"/>
      <c r="O12" s="241"/>
      <c r="P12" s="241"/>
      <c r="Q12" s="241">
        <v>5000</v>
      </c>
      <c r="R12" s="241">
        <v>6529.75</v>
      </c>
      <c r="S12" s="241">
        <v>9855</v>
      </c>
      <c r="T12" s="241"/>
      <c r="U12" s="267"/>
      <c r="V12" s="288">
        <f t="shared" si="0"/>
        <v>127226.81</v>
      </c>
      <c r="W12" s="276" t="s">
        <v>113</v>
      </c>
    </row>
    <row r="13" spans="1:23" ht="12.75">
      <c r="A13" s="239">
        <v>512</v>
      </c>
      <c r="B13" s="240" t="s">
        <v>85</v>
      </c>
      <c r="C13" s="241">
        <v>125047.5</v>
      </c>
      <c r="D13" s="241"/>
      <c r="E13" s="241"/>
      <c r="F13" s="241">
        <v>109099</v>
      </c>
      <c r="G13" s="241"/>
      <c r="H13" s="241"/>
      <c r="I13" s="241"/>
      <c r="J13" s="241"/>
      <c r="K13" s="241">
        <v>37649</v>
      </c>
      <c r="L13" s="241">
        <v>27010</v>
      </c>
      <c r="M13" s="241"/>
      <c r="N13" s="241">
        <v>10975</v>
      </c>
      <c r="O13" s="241"/>
      <c r="P13" s="241">
        <v>66824</v>
      </c>
      <c r="Q13" s="241">
        <v>6232</v>
      </c>
      <c r="R13" s="241"/>
      <c r="S13" s="241">
        <v>112948</v>
      </c>
      <c r="T13" s="241"/>
      <c r="U13" s="267">
        <v>774</v>
      </c>
      <c r="V13" s="288">
        <f t="shared" si="0"/>
        <v>496558.5</v>
      </c>
      <c r="W13" s="276" t="s">
        <v>114</v>
      </c>
    </row>
    <row r="14" spans="1:23" ht="12.75">
      <c r="A14" s="239"/>
      <c r="B14" s="240" t="s">
        <v>87</v>
      </c>
      <c r="C14" s="241">
        <v>396614.81</v>
      </c>
      <c r="D14" s="241"/>
      <c r="E14" s="241"/>
      <c r="F14" s="241">
        <v>849356.83</v>
      </c>
      <c r="G14" s="241">
        <v>4678</v>
      </c>
      <c r="H14" s="241"/>
      <c r="I14" s="241"/>
      <c r="J14" s="241"/>
      <c r="K14" s="241">
        <v>203504.66</v>
      </c>
      <c r="L14" s="241">
        <v>381057.86</v>
      </c>
      <c r="M14" s="241"/>
      <c r="N14" s="241">
        <v>134313.31</v>
      </c>
      <c r="O14" s="241"/>
      <c r="P14" s="241">
        <v>262160.66</v>
      </c>
      <c r="Q14" s="241">
        <v>8461</v>
      </c>
      <c r="R14" s="241"/>
      <c r="S14" s="241">
        <v>395554.79</v>
      </c>
      <c r="T14" s="241"/>
      <c r="U14" s="267"/>
      <c r="V14" s="288">
        <f t="shared" si="0"/>
        <v>2635701.92</v>
      </c>
      <c r="W14" s="276" t="s">
        <v>136</v>
      </c>
    </row>
    <row r="15" spans="1:23" ht="12.75">
      <c r="A15" s="239"/>
      <c r="B15" s="240" t="s">
        <v>89</v>
      </c>
      <c r="C15" s="241">
        <v>2202</v>
      </c>
      <c r="D15" s="241"/>
      <c r="E15" s="241"/>
      <c r="F15" s="241"/>
      <c r="G15" s="241"/>
      <c r="H15" s="241"/>
      <c r="I15" s="241"/>
      <c r="J15" s="241"/>
      <c r="K15" s="241">
        <v>52832.67</v>
      </c>
      <c r="L15" s="241">
        <v>145480.82</v>
      </c>
      <c r="M15" s="241"/>
      <c r="N15" s="241"/>
      <c r="O15" s="241"/>
      <c r="P15" s="241"/>
      <c r="Q15" s="241"/>
      <c r="R15" s="241"/>
      <c r="S15" s="241"/>
      <c r="T15" s="241"/>
      <c r="U15" s="267"/>
      <c r="V15" s="288">
        <f t="shared" si="0"/>
        <v>200515.49</v>
      </c>
      <c r="W15" s="276" t="s">
        <v>142</v>
      </c>
    </row>
    <row r="16" spans="1:23" ht="12.75">
      <c r="A16" s="239"/>
      <c r="B16" s="240" t="s">
        <v>90</v>
      </c>
      <c r="C16" s="241">
        <v>2134</v>
      </c>
      <c r="D16" s="241"/>
      <c r="E16" s="241"/>
      <c r="F16" s="241">
        <v>27357</v>
      </c>
      <c r="G16" s="241"/>
      <c r="H16" s="241"/>
      <c r="I16" s="241"/>
      <c r="J16" s="241"/>
      <c r="K16" s="241"/>
      <c r="L16" s="241"/>
      <c r="M16" s="241"/>
      <c r="N16" s="241"/>
      <c r="O16" s="241"/>
      <c r="P16" s="241">
        <v>1445</v>
      </c>
      <c r="Q16" s="241"/>
      <c r="R16" s="241"/>
      <c r="S16" s="241"/>
      <c r="T16" s="241"/>
      <c r="U16" s="267"/>
      <c r="V16" s="288">
        <f t="shared" si="0"/>
        <v>30936</v>
      </c>
      <c r="W16" s="276" t="s">
        <v>135</v>
      </c>
    </row>
    <row r="17" spans="1:23" ht="12.75">
      <c r="A17" s="239"/>
      <c r="B17" s="240" t="s">
        <v>91</v>
      </c>
      <c r="C17" s="241">
        <v>5649</v>
      </c>
      <c r="D17" s="241"/>
      <c r="E17" s="241"/>
      <c r="F17" s="241">
        <v>146685</v>
      </c>
      <c r="G17" s="241"/>
      <c r="H17" s="241"/>
      <c r="I17" s="241"/>
      <c r="J17" s="241"/>
      <c r="K17" s="241"/>
      <c r="L17" s="241"/>
      <c r="M17" s="241"/>
      <c r="N17" s="241">
        <v>11873</v>
      </c>
      <c r="O17" s="241"/>
      <c r="P17" s="241">
        <v>6979</v>
      </c>
      <c r="Q17" s="241"/>
      <c r="R17" s="241">
        <v>140</v>
      </c>
      <c r="S17" s="241">
        <v>16470</v>
      </c>
      <c r="T17" s="241"/>
      <c r="U17" s="267"/>
      <c r="V17" s="288">
        <f t="shared" si="0"/>
        <v>187796</v>
      </c>
      <c r="W17" s="276" t="s">
        <v>422</v>
      </c>
    </row>
    <row r="18" spans="1:23" ht="12.75">
      <c r="A18" s="239">
        <v>513</v>
      </c>
      <c r="B18" s="240" t="s">
        <v>86</v>
      </c>
      <c r="C18" s="241"/>
      <c r="D18" s="241"/>
      <c r="E18" s="241"/>
      <c r="F18" s="241"/>
      <c r="G18" s="241">
        <v>277677.53</v>
      </c>
      <c r="H18" s="241"/>
      <c r="I18" s="241"/>
      <c r="J18" s="241"/>
      <c r="K18" s="241"/>
      <c r="L18" s="241"/>
      <c r="M18" s="241"/>
      <c r="N18" s="241"/>
      <c r="O18" s="241"/>
      <c r="P18" s="241">
        <v>6770</v>
      </c>
      <c r="Q18" s="241"/>
      <c r="R18" s="241"/>
      <c r="S18" s="241"/>
      <c r="T18" s="241"/>
      <c r="U18" s="267">
        <v>108</v>
      </c>
      <c r="V18" s="288">
        <f t="shared" si="0"/>
        <v>284555.53</v>
      </c>
      <c r="W18" s="276" t="s">
        <v>115</v>
      </c>
    </row>
    <row r="19" spans="1:23" ht="12.75">
      <c r="A19" s="239">
        <v>518</v>
      </c>
      <c r="B19" s="240" t="s">
        <v>85</v>
      </c>
      <c r="C19" s="241">
        <v>17549.82</v>
      </c>
      <c r="D19" s="241"/>
      <c r="E19" s="241"/>
      <c r="F19" s="241"/>
      <c r="G19" s="241">
        <v>49549.5</v>
      </c>
      <c r="H19" s="241"/>
      <c r="I19" s="241"/>
      <c r="J19" s="241"/>
      <c r="K19" s="241"/>
      <c r="L19" s="241">
        <v>2750</v>
      </c>
      <c r="M19" s="241"/>
      <c r="N19" s="241"/>
      <c r="O19" s="241"/>
      <c r="P19" s="241">
        <v>12100</v>
      </c>
      <c r="Q19" s="241"/>
      <c r="R19" s="241"/>
      <c r="S19" s="241">
        <v>23772.28</v>
      </c>
      <c r="T19" s="241">
        <v>6000</v>
      </c>
      <c r="U19" s="267"/>
      <c r="V19" s="288">
        <f t="shared" si="0"/>
        <v>111721.6</v>
      </c>
      <c r="W19" s="276" t="s">
        <v>116</v>
      </c>
    </row>
    <row r="20" spans="1:23" ht="12.75">
      <c r="A20" s="239"/>
      <c r="B20" s="240" t="s">
        <v>87</v>
      </c>
      <c r="C20" s="241">
        <v>54530.47</v>
      </c>
      <c r="D20" s="241"/>
      <c r="E20" s="241"/>
      <c r="F20" s="241">
        <v>14903.4</v>
      </c>
      <c r="G20" s="241"/>
      <c r="H20" s="241"/>
      <c r="I20" s="241"/>
      <c r="J20" s="241"/>
      <c r="K20" s="241"/>
      <c r="L20" s="241"/>
      <c r="M20" s="241"/>
      <c r="N20" s="241">
        <v>1741.8</v>
      </c>
      <c r="O20" s="241"/>
      <c r="P20" s="241">
        <v>1738.6</v>
      </c>
      <c r="Q20" s="241"/>
      <c r="R20" s="241"/>
      <c r="S20" s="241">
        <v>6967.2</v>
      </c>
      <c r="T20" s="241"/>
      <c r="U20" s="267"/>
      <c r="V20" s="288">
        <f t="shared" si="0"/>
        <v>79881.47</v>
      </c>
      <c r="W20" s="276" t="s">
        <v>117</v>
      </c>
    </row>
    <row r="21" spans="1:23" ht="12.75">
      <c r="A21" s="239"/>
      <c r="B21" s="240" t="s">
        <v>89</v>
      </c>
      <c r="C21" s="241">
        <v>56253.68</v>
      </c>
      <c r="D21" s="241"/>
      <c r="E21" s="241"/>
      <c r="F21" s="241"/>
      <c r="G21" s="241"/>
      <c r="H21" s="241"/>
      <c r="I21" s="241"/>
      <c r="J21" s="241"/>
      <c r="K21" s="241"/>
      <c r="L21" s="241"/>
      <c r="M21" s="241"/>
      <c r="N21" s="241">
        <v>48.23</v>
      </c>
      <c r="O21" s="241"/>
      <c r="P21" s="241"/>
      <c r="Q21" s="241"/>
      <c r="R21" s="241"/>
      <c r="S21" s="241"/>
      <c r="T21" s="241"/>
      <c r="U21" s="267"/>
      <c r="V21" s="288">
        <f t="shared" si="0"/>
        <v>56301.91</v>
      </c>
      <c r="W21" s="276" t="s">
        <v>118</v>
      </c>
    </row>
    <row r="22" spans="1:23" ht="12.75">
      <c r="A22" s="239"/>
      <c r="B22" s="240" t="s">
        <v>90</v>
      </c>
      <c r="C22" s="241">
        <v>403695.09</v>
      </c>
      <c r="D22" s="241"/>
      <c r="E22" s="241"/>
      <c r="F22" s="241">
        <v>532</v>
      </c>
      <c r="G22" s="241"/>
      <c r="H22" s="241"/>
      <c r="I22" s="241"/>
      <c r="J22" s="241"/>
      <c r="K22" s="241">
        <v>294</v>
      </c>
      <c r="L22" s="241">
        <v>111</v>
      </c>
      <c r="M22" s="241"/>
      <c r="N22" s="241">
        <v>80</v>
      </c>
      <c r="O22" s="241"/>
      <c r="P22" s="241"/>
      <c r="Q22" s="241">
        <v>975.06</v>
      </c>
      <c r="R22" s="241"/>
      <c r="S22" s="241">
        <v>526</v>
      </c>
      <c r="T22" s="241"/>
      <c r="U22" s="267"/>
      <c r="V22" s="288">
        <f t="shared" si="0"/>
        <v>406213.15</v>
      </c>
      <c r="W22" s="276" t="s">
        <v>119</v>
      </c>
    </row>
    <row r="23" spans="1:23" ht="12.75">
      <c r="A23" s="239"/>
      <c r="B23" s="240" t="s">
        <v>91</v>
      </c>
      <c r="C23" s="241">
        <v>555962.03</v>
      </c>
      <c r="D23" s="241"/>
      <c r="E23" s="241"/>
      <c r="F23" s="241">
        <v>359255.23</v>
      </c>
      <c r="G23" s="241">
        <v>64848.43</v>
      </c>
      <c r="H23" s="241"/>
      <c r="I23" s="241"/>
      <c r="J23" s="241"/>
      <c r="K23" s="241">
        <v>22539.94</v>
      </c>
      <c r="L23" s="241">
        <v>3003.14</v>
      </c>
      <c r="M23" s="241">
        <v>11519</v>
      </c>
      <c r="N23" s="241">
        <v>213901</v>
      </c>
      <c r="O23" s="241"/>
      <c r="P23" s="241">
        <v>80886.13</v>
      </c>
      <c r="Q23" s="241">
        <v>53563.17</v>
      </c>
      <c r="R23" s="241">
        <v>19281</v>
      </c>
      <c r="S23" s="241">
        <v>253181.55</v>
      </c>
      <c r="T23" s="241">
        <v>14842.24</v>
      </c>
      <c r="U23" s="267">
        <v>139410</v>
      </c>
      <c r="V23" s="288">
        <f t="shared" si="0"/>
        <v>1792192.8599999999</v>
      </c>
      <c r="W23" s="276" t="s">
        <v>38</v>
      </c>
    </row>
    <row r="24" spans="1:23" ht="12.75">
      <c r="A24" s="239"/>
      <c r="B24" s="240" t="s">
        <v>92</v>
      </c>
      <c r="C24" s="241"/>
      <c r="D24" s="241"/>
      <c r="E24" s="241"/>
      <c r="F24" s="241"/>
      <c r="G24" s="241">
        <v>176.4</v>
      </c>
      <c r="H24" s="241"/>
      <c r="I24" s="241"/>
      <c r="J24" s="241"/>
      <c r="K24" s="241"/>
      <c r="L24" s="241"/>
      <c r="M24" s="241"/>
      <c r="N24" s="241"/>
      <c r="O24" s="241"/>
      <c r="P24" s="241"/>
      <c r="Q24" s="241"/>
      <c r="R24" s="241"/>
      <c r="S24" s="241"/>
      <c r="T24" s="241"/>
      <c r="U24" s="267"/>
      <c r="V24" s="288">
        <f t="shared" si="0"/>
        <v>176.4</v>
      </c>
      <c r="W24" s="276" t="s">
        <v>143</v>
      </c>
    </row>
    <row r="25" spans="1:23" ht="12.75">
      <c r="A25" s="239"/>
      <c r="B25" s="240" t="s">
        <v>93</v>
      </c>
      <c r="C25" s="241">
        <v>51833.59</v>
      </c>
      <c r="D25" s="241"/>
      <c r="E25" s="241"/>
      <c r="F25" s="241">
        <v>70126.87</v>
      </c>
      <c r="G25" s="241"/>
      <c r="H25" s="241"/>
      <c r="I25" s="241"/>
      <c r="J25" s="241"/>
      <c r="K25" s="241">
        <v>36153.93</v>
      </c>
      <c r="L25" s="241">
        <v>1417.9</v>
      </c>
      <c r="M25" s="241"/>
      <c r="N25" s="241">
        <v>1200</v>
      </c>
      <c r="O25" s="241"/>
      <c r="P25" s="241">
        <v>53345.72</v>
      </c>
      <c r="Q25" s="241">
        <v>13191</v>
      </c>
      <c r="R25" s="241"/>
      <c r="S25" s="241">
        <v>35211.42</v>
      </c>
      <c r="T25" s="241"/>
      <c r="U25" s="267"/>
      <c r="V25" s="288">
        <f t="shared" si="0"/>
        <v>262480.43</v>
      </c>
      <c r="W25" s="276" t="s">
        <v>120</v>
      </c>
    </row>
    <row r="26" spans="1:23" ht="12.75">
      <c r="A26" s="239"/>
      <c r="B26" s="240" t="s">
        <v>94</v>
      </c>
      <c r="C26" s="241"/>
      <c r="D26" s="241"/>
      <c r="E26" s="241"/>
      <c r="F26" s="241"/>
      <c r="G26" s="241"/>
      <c r="H26" s="241"/>
      <c r="I26" s="241"/>
      <c r="J26" s="241"/>
      <c r="K26" s="241"/>
      <c r="L26" s="241"/>
      <c r="M26" s="241"/>
      <c r="N26" s="241"/>
      <c r="O26" s="241"/>
      <c r="P26" s="241"/>
      <c r="Q26" s="241"/>
      <c r="R26" s="241"/>
      <c r="S26" s="241"/>
      <c r="T26" s="241"/>
      <c r="U26" s="267"/>
      <c r="V26" s="288">
        <f t="shared" si="0"/>
        <v>0</v>
      </c>
      <c r="W26" s="276" t="s">
        <v>144</v>
      </c>
    </row>
    <row r="27" spans="1:23" ht="12.75">
      <c r="A27" s="239"/>
      <c r="B27" s="240" t="s">
        <v>95</v>
      </c>
      <c r="C27" s="241">
        <v>58296.06</v>
      </c>
      <c r="D27" s="241"/>
      <c r="E27" s="241">
        <v>5702.4</v>
      </c>
      <c r="F27" s="241">
        <v>382117</v>
      </c>
      <c r="G27" s="241"/>
      <c r="H27" s="241"/>
      <c r="I27" s="241"/>
      <c r="J27" s="241"/>
      <c r="K27" s="241"/>
      <c r="L27" s="241">
        <v>10068</v>
      </c>
      <c r="M27" s="241">
        <v>22117.45</v>
      </c>
      <c r="N27" s="241"/>
      <c r="O27" s="241"/>
      <c r="P27" s="241">
        <v>384233.33</v>
      </c>
      <c r="Q27" s="241">
        <v>84600</v>
      </c>
      <c r="R27" s="241">
        <v>35740.13</v>
      </c>
      <c r="S27" s="241">
        <v>363510</v>
      </c>
      <c r="T27" s="241"/>
      <c r="U27" s="267"/>
      <c r="V27" s="288">
        <f t="shared" si="0"/>
        <v>1346384.37</v>
      </c>
      <c r="W27" s="276" t="s">
        <v>121</v>
      </c>
    </row>
    <row r="28" spans="1:23" ht="12.75">
      <c r="A28" s="239"/>
      <c r="B28" s="240" t="s">
        <v>206</v>
      </c>
      <c r="C28" s="241">
        <v>3000</v>
      </c>
      <c r="D28" s="241"/>
      <c r="E28" s="241"/>
      <c r="F28" s="241"/>
      <c r="G28" s="241"/>
      <c r="H28" s="241"/>
      <c r="I28" s="241"/>
      <c r="J28" s="241"/>
      <c r="K28" s="241"/>
      <c r="L28" s="241"/>
      <c r="M28" s="241"/>
      <c r="N28" s="241"/>
      <c r="O28" s="241"/>
      <c r="P28" s="241"/>
      <c r="Q28" s="241"/>
      <c r="R28" s="241"/>
      <c r="S28" s="241"/>
      <c r="T28" s="241"/>
      <c r="U28" s="267"/>
      <c r="V28" s="288">
        <f t="shared" si="0"/>
        <v>3000</v>
      </c>
      <c r="W28" s="276" t="s">
        <v>245</v>
      </c>
    </row>
    <row r="29" spans="1:23" ht="12.75">
      <c r="A29" s="239"/>
      <c r="B29" s="240" t="s">
        <v>96</v>
      </c>
      <c r="C29" s="241">
        <v>420472.42</v>
      </c>
      <c r="D29" s="241"/>
      <c r="E29" s="241"/>
      <c r="F29" s="241"/>
      <c r="G29" s="241"/>
      <c r="H29" s="241"/>
      <c r="I29" s="241"/>
      <c r="J29" s="241"/>
      <c r="K29" s="241"/>
      <c r="L29" s="241"/>
      <c r="M29" s="241"/>
      <c r="N29" s="241"/>
      <c r="O29" s="241"/>
      <c r="P29" s="241"/>
      <c r="Q29" s="241"/>
      <c r="R29" s="241"/>
      <c r="S29" s="241"/>
      <c r="T29" s="241"/>
      <c r="U29" s="267"/>
      <c r="V29" s="288">
        <f aca="true" t="shared" si="1" ref="V29:V56">SUM(C29:U29)</f>
        <v>420472.42</v>
      </c>
      <c r="W29" s="276" t="s">
        <v>122</v>
      </c>
    </row>
    <row r="30" spans="1:23" ht="12.75">
      <c r="A30" s="239">
        <v>521</v>
      </c>
      <c r="B30" s="240" t="s">
        <v>85</v>
      </c>
      <c r="C30" s="241">
        <v>39826623</v>
      </c>
      <c r="D30" s="241">
        <v>631650</v>
      </c>
      <c r="E30" s="241">
        <v>27100</v>
      </c>
      <c r="F30" s="241">
        <v>558703</v>
      </c>
      <c r="G30" s="241">
        <v>558100</v>
      </c>
      <c r="H30" s="241"/>
      <c r="I30" s="241"/>
      <c r="J30" s="241">
        <v>12300</v>
      </c>
      <c r="K30" s="241">
        <v>480095</v>
      </c>
      <c r="L30" s="241">
        <v>419254</v>
      </c>
      <c r="M30" s="241"/>
      <c r="N30" s="241">
        <v>1060645</v>
      </c>
      <c r="O30" s="241">
        <v>178301</v>
      </c>
      <c r="P30" s="241">
        <v>15301829</v>
      </c>
      <c r="Q30" s="241">
        <v>197000</v>
      </c>
      <c r="R30" s="241">
        <v>19534</v>
      </c>
      <c r="S30" s="241">
        <v>1030106</v>
      </c>
      <c r="T30" s="241">
        <v>1700</v>
      </c>
      <c r="U30" s="267">
        <v>148250</v>
      </c>
      <c r="V30" s="288">
        <f t="shared" si="1"/>
        <v>60451190</v>
      </c>
      <c r="W30" s="276" t="s">
        <v>123</v>
      </c>
    </row>
    <row r="31" spans="1:23" ht="12.75">
      <c r="A31" s="239"/>
      <c r="B31" s="240" t="s">
        <v>87</v>
      </c>
      <c r="C31" s="241">
        <v>1693629</v>
      </c>
      <c r="D31" s="241">
        <v>181650</v>
      </c>
      <c r="E31" s="241">
        <v>27100</v>
      </c>
      <c r="F31" s="241">
        <v>212044</v>
      </c>
      <c r="G31" s="241">
        <v>10140</v>
      </c>
      <c r="H31" s="241"/>
      <c r="I31" s="241"/>
      <c r="J31" s="241"/>
      <c r="K31" s="241">
        <v>3294458</v>
      </c>
      <c r="L31" s="241">
        <v>1906880</v>
      </c>
      <c r="M31" s="241"/>
      <c r="N31" s="241">
        <v>34460</v>
      </c>
      <c r="O31" s="241"/>
      <c r="P31" s="241">
        <v>105350</v>
      </c>
      <c r="Q31" s="241">
        <v>52021</v>
      </c>
      <c r="R31" s="241">
        <v>6000</v>
      </c>
      <c r="S31" s="241">
        <v>258000</v>
      </c>
      <c r="T31" s="241"/>
      <c r="U31" s="267">
        <v>47100</v>
      </c>
      <c r="V31" s="288">
        <f t="shared" si="1"/>
        <v>7828832</v>
      </c>
      <c r="W31" s="276" t="s">
        <v>124</v>
      </c>
    </row>
    <row r="32" spans="1:23" ht="12.75">
      <c r="A32" s="239"/>
      <c r="B32" s="240" t="s">
        <v>90</v>
      </c>
      <c r="C32" s="241">
        <v>41826</v>
      </c>
      <c r="D32" s="241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>
        <v>12511</v>
      </c>
      <c r="Q32" s="241"/>
      <c r="R32" s="241"/>
      <c r="S32" s="241"/>
      <c r="T32" s="241"/>
      <c r="U32" s="267"/>
      <c r="V32" s="288">
        <f t="shared" si="1"/>
        <v>54337</v>
      </c>
      <c r="W32" s="276" t="s">
        <v>145</v>
      </c>
    </row>
    <row r="33" spans="1:23" ht="12.75">
      <c r="A33" s="239">
        <v>524</v>
      </c>
      <c r="B33" s="240" t="s">
        <v>97</v>
      </c>
      <c r="C33" s="241">
        <v>3582888.36</v>
      </c>
      <c r="D33" s="241">
        <v>56913.22</v>
      </c>
      <c r="E33" s="241">
        <v>2439.03</v>
      </c>
      <c r="F33" s="241">
        <v>50293.87</v>
      </c>
      <c r="G33" s="241">
        <v>50228.99</v>
      </c>
      <c r="H33" s="241"/>
      <c r="I33" s="241"/>
      <c r="J33" s="241">
        <v>1106.88</v>
      </c>
      <c r="K33" s="241">
        <v>331692.67</v>
      </c>
      <c r="L33" s="241">
        <v>170729.62</v>
      </c>
      <c r="M33" s="241"/>
      <c r="N33" s="241">
        <v>95448.24</v>
      </c>
      <c r="O33" s="241">
        <v>16047.14</v>
      </c>
      <c r="P33" s="241">
        <v>1375212.81</v>
      </c>
      <c r="Q33" s="241">
        <v>17729</v>
      </c>
      <c r="R33" s="241">
        <v>1757.91</v>
      </c>
      <c r="S33" s="241">
        <v>92707.62</v>
      </c>
      <c r="T33" s="241">
        <v>152.98</v>
      </c>
      <c r="U33" s="267">
        <v>13342.82</v>
      </c>
      <c r="V33" s="288">
        <f t="shared" si="1"/>
        <v>5858691.160000001</v>
      </c>
      <c r="W33" s="276" t="s">
        <v>125</v>
      </c>
    </row>
    <row r="34" spans="1:23" ht="12.75">
      <c r="A34" s="239"/>
      <c r="B34" s="240" t="s">
        <v>98</v>
      </c>
      <c r="C34" s="241">
        <v>9885186.78</v>
      </c>
      <c r="D34" s="241">
        <v>157857.5</v>
      </c>
      <c r="E34" s="241">
        <v>6775</v>
      </c>
      <c r="F34" s="241">
        <v>139675.75</v>
      </c>
      <c r="G34" s="241">
        <v>139525</v>
      </c>
      <c r="H34" s="241"/>
      <c r="I34" s="241"/>
      <c r="J34" s="241">
        <v>3075</v>
      </c>
      <c r="K34" s="241">
        <v>924353.39</v>
      </c>
      <c r="L34" s="241">
        <v>480493.5</v>
      </c>
      <c r="M34" s="241"/>
      <c r="N34" s="241">
        <v>261091.27</v>
      </c>
      <c r="O34" s="241">
        <v>44575.25</v>
      </c>
      <c r="P34" s="241">
        <v>3819688.85</v>
      </c>
      <c r="Q34" s="241">
        <v>49250</v>
      </c>
      <c r="R34" s="241">
        <v>4883.5</v>
      </c>
      <c r="S34" s="241">
        <v>256263.94</v>
      </c>
      <c r="T34" s="241">
        <v>425</v>
      </c>
      <c r="U34" s="267">
        <v>37062.5</v>
      </c>
      <c r="V34" s="288">
        <f t="shared" si="1"/>
        <v>16210182.229999999</v>
      </c>
      <c r="W34" s="276" t="s">
        <v>126</v>
      </c>
    </row>
    <row r="35" spans="1:23" ht="12.75">
      <c r="A35" s="239">
        <v>527</v>
      </c>
      <c r="B35" s="240" t="s">
        <v>97</v>
      </c>
      <c r="C35" s="241">
        <v>1253114.5</v>
      </c>
      <c r="D35" s="241"/>
      <c r="E35" s="241"/>
      <c r="F35" s="241"/>
      <c r="G35" s="241"/>
      <c r="H35" s="241"/>
      <c r="I35" s="241"/>
      <c r="J35" s="241"/>
      <c r="K35" s="241"/>
      <c r="L35" s="241"/>
      <c r="M35" s="241"/>
      <c r="N35" s="241"/>
      <c r="O35" s="241"/>
      <c r="P35" s="241"/>
      <c r="Q35" s="241"/>
      <c r="R35" s="241"/>
      <c r="S35" s="241"/>
      <c r="T35" s="241"/>
      <c r="U35" s="267"/>
      <c r="V35" s="288">
        <f t="shared" si="1"/>
        <v>1253114.5</v>
      </c>
      <c r="W35" s="276" t="s">
        <v>127</v>
      </c>
    </row>
    <row r="36" spans="1:23" ht="12.75">
      <c r="A36" s="239">
        <v>531</v>
      </c>
      <c r="B36" s="240" t="s">
        <v>97</v>
      </c>
      <c r="C36" s="241">
        <v>2475</v>
      </c>
      <c r="D36" s="241"/>
      <c r="E36" s="241"/>
      <c r="F36" s="241"/>
      <c r="G36" s="241"/>
      <c r="H36" s="241"/>
      <c r="I36" s="241"/>
      <c r="J36" s="241"/>
      <c r="K36" s="241"/>
      <c r="L36" s="241"/>
      <c r="M36" s="241"/>
      <c r="N36" s="241"/>
      <c r="O36" s="241"/>
      <c r="P36" s="241"/>
      <c r="Q36" s="241"/>
      <c r="R36" s="241"/>
      <c r="S36" s="241"/>
      <c r="T36" s="241"/>
      <c r="U36" s="267"/>
      <c r="V36" s="288">
        <f t="shared" si="1"/>
        <v>2475</v>
      </c>
      <c r="W36" s="276" t="s">
        <v>146</v>
      </c>
    </row>
    <row r="37" spans="1:23" ht="12.75">
      <c r="A37" s="239">
        <v>542</v>
      </c>
      <c r="B37" s="240" t="s">
        <v>86</v>
      </c>
      <c r="C37" s="241"/>
      <c r="D37" s="241"/>
      <c r="E37" s="241"/>
      <c r="F37" s="241"/>
      <c r="G37" s="241">
        <v>83252</v>
      </c>
      <c r="H37" s="241"/>
      <c r="I37" s="241"/>
      <c r="J37" s="241"/>
      <c r="K37" s="241"/>
      <c r="L37" s="241"/>
      <c r="M37" s="241"/>
      <c r="N37" s="241"/>
      <c r="O37" s="241"/>
      <c r="P37" s="241"/>
      <c r="Q37" s="241"/>
      <c r="R37" s="241"/>
      <c r="S37" s="241"/>
      <c r="T37" s="241"/>
      <c r="U37" s="267"/>
      <c r="V37" s="288">
        <f t="shared" si="1"/>
        <v>83252</v>
      </c>
      <c r="W37" s="276" t="s">
        <v>224</v>
      </c>
    </row>
    <row r="38" spans="1:23" ht="12.75">
      <c r="A38" s="239">
        <v>545</v>
      </c>
      <c r="B38" s="240" t="s">
        <v>85</v>
      </c>
      <c r="C38" s="241"/>
      <c r="D38" s="241"/>
      <c r="E38" s="241"/>
      <c r="F38" s="241"/>
      <c r="G38" s="241"/>
      <c r="H38" s="241"/>
      <c r="I38" s="241"/>
      <c r="J38" s="241"/>
      <c r="K38" s="241">
        <v>746.08</v>
      </c>
      <c r="L38" s="241"/>
      <c r="M38" s="241"/>
      <c r="N38" s="241"/>
      <c r="O38" s="241"/>
      <c r="P38" s="241"/>
      <c r="Q38" s="241"/>
      <c r="R38" s="241"/>
      <c r="S38" s="241"/>
      <c r="T38" s="241"/>
      <c r="U38" s="267"/>
      <c r="V38" s="288">
        <f t="shared" si="1"/>
        <v>746.08</v>
      </c>
      <c r="W38" s="276" t="s">
        <v>410</v>
      </c>
    </row>
    <row r="39" spans="1:23" ht="12.75">
      <c r="A39" s="239">
        <v>549</v>
      </c>
      <c r="B39" s="240" t="s">
        <v>87</v>
      </c>
      <c r="C39" s="241">
        <v>14458.35</v>
      </c>
      <c r="D39" s="241"/>
      <c r="E39" s="241"/>
      <c r="F39" s="241">
        <v>6424.23</v>
      </c>
      <c r="G39" s="241">
        <v>1299</v>
      </c>
      <c r="H39" s="241"/>
      <c r="I39" s="241"/>
      <c r="J39" s="241"/>
      <c r="K39" s="241">
        <v>1097.4</v>
      </c>
      <c r="L39" s="241">
        <v>3805.31</v>
      </c>
      <c r="M39" s="241"/>
      <c r="N39" s="241">
        <v>1250.57</v>
      </c>
      <c r="O39" s="241"/>
      <c r="P39" s="241">
        <v>3034.66</v>
      </c>
      <c r="Q39" s="241">
        <v>462</v>
      </c>
      <c r="R39" s="241"/>
      <c r="S39" s="241">
        <v>7281.08</v>
      </c>
      <c r="T39" s="241"/>
      <c r="U39" s="267"/>
      <c r="V39" s="288">
        <f t="shared" si="1"/>
        <v>39112.600000000006</v>
      </c>
      <c r="W39" s="276" t="s">
        <v>128</v>
      </c>
    </row>
    <row r="40" spans="1:23" ht="12.75">
      <c r="A40" s="239"/>
      <c r="B40" s="240" t="s">
        <v>88</v>
      </c>
      <c r="C40" s="241"/>
      <c r="D40" s="241"/>
      <c r="E40" s="241"/>
      <c r="F40" s="241"/>
      <c r="G40" s="241"/>
      <c r="H40" s="241"/>
      <c r="I40" s="241"/>
      <c r="J40" s="241"/>
      <c r="K40" s="241"/>
      <c r="L40" s="241"/>
      <c r="M40" s="241"/>
      <c r="N40" s="241"/>
      <c r="O40" s="241"/>
      <c r="P40" s="241"/>
      <c r="Q40" s="241"/>
      <c r="R40" s="241"/>
      <c r="S40" s="241"/>
      <c r="T40" s="241"/>
      <c r="U40" s="267"/>
      <c r="V40" s="288">
        <f t="shared" si="1"/>
        <v>0</v>
      </c>
      <c r="W40" s="276" t="s">
        <v>147</v>
      </c>
    </row>
    <row r="41" spans="1:23" ht="12.75">
      <c r="A41" s="239"/>
      <c r="B41" s="240" t="s">
        <v>89</v>
      </c>
      <c r="C41" s="241">
        <v>1199048</v>
      </c>
      <c r="D41" s="241">
        <v>6000</v>
      </c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>
        <v>4000</v>
      </c>
      <c r="U41" s="267"/>
      <c r="V41" s="288">
        <f t="shared" si="1"/>
        <v>1209048</v>
      </c>
      <c r="W41" s="276" t="s">
        <v>129</v>
      </c>
    </row>
    <row r="42" spans="1:23" ht="12.75">
      <c r="A42" s="239"/>
      <c r="B42" s="240" t="s">
        <v>90</v>
      </c>
      <c r="C42" s="241"/>
      <c r="D42" s="241"/>
      <c r="E42" s="241"/>
      <c r="F42" s="241"/>
      <c r="G42" s="241"/>
      <c r="H42" s="241">
        <v>3972500</v>
      </c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67"/>
      <c r="V42" s="288">
        <f t="shared" si="1"/>
        <v>3972500</v>
      </c>
      <c r="W42" s="276" t="s">
        <v>42</v>
      </c>
    </row>
    <row r="43" spans="1:23" ht="12.75">
      <c r="A43" s="239"/>
      <c r="B43" s="240" t="s">
        <v>91</v>
      </c>
      <c r="C43" s="241"/>
      <c r="D43" s="241"/>
      <c r="E43" s="241"/>
      <c r="F43" s="241"/>
      <c r="G43" s="241"/>
      <c r="H43" s="241"/>
      <c r="I43" s="241"/>
      <c r="J43" s="241"/>
      <c r="K43" s="241"/>
      <c r="L43" s="241"/>
      <c r="M43" s="241"/>
      <c r="N43" s="241"/>
      <c r="O43" s="241"/>
      <c r="P43" s="241"/>
      <c r="Q43" s="241"/>
      <c r="R43" s="241"/>
      <c r="S43" s="241"/>
      <c r="T43" s="241"/>
      <c r="U43" s="267"/>
      <c r="V43" s="288">
        <f t="shared" si="1"/>
        <v>0</v>
      </c>
      <c r="W43" s="276" t="s">
        <v>130</v>
      </c>
    </row>
    <row r="44" spans="1:23" ht="12.75">
      <c r="A44" s="239"/>
      <c r="B44" s="240" t="s">
        <v>93</v>
      </c>
      <c r="C44" s="241">
        <v>962000</v>
      </c>
      <c r="D44" s="241"/>
      <c r="E44" s="241"/>
      <c r="F44" s="241"/>
      <c r="G44" s="241"/>
      <c r="H44" s="241"/>
      <c r="I44" s="241"/>
      <c r="J44" s="241"/>
      <c r="K44" s="241"/>
      <c r="L44" s="241"/>
      <c r="M44" s="241"/>
      <c r="N44" s="241"/>
      <c r="O44" s="241"/>
      <c r="P44" s="241"/>
      <c r="Q44" s="241"/>
      <c r="R44" s="241"/>
      <c r="S44" s="241"/>
      <c r="T44" s="241"/>
      <c r="U44" s="267"/>
      <c r="V44" s="288">
        <f t="shared" si="1"/>
        <v>962000</v>
      </c>
      <c r="W44" s="276" t="s">
        <v>148</v>
      </c>
    </row>
    <row r="45" spans="1:23" ht="12.75">
      <c r="A45" s="239"/>
      <c r="B45" s="240" t="s">
        <v>99</v>
      </c>
      <c r="C45" s="241"/>
      <c r="D45" s="241"/>
      <c r="E45" s="241"/>
      <c r="F45" s="241"/>
      <c r="G45" s="241"/>
      <c r="H45" s="241"/>
      <c r="I45" s="241"/>
      <c r="J45" s="241">
        <v>8250</v>
      </c>
      <c r="K45" s="241"/>
      <c r="L45" s="241"/>
      <c r="M45" s="241"/>
      <c r="N45" s="241"/>
      <c r="O45" s="241"/>
      <c r="P45" s="241"/>
      <c r="Q45" s="241"/>
      <c r="R45" s="241"/>
      <c r="S45" s="241"/>
      <c r="T45" s="241"/>
      <c r="U45" s="267"/>
      <c r="V45" s="288">
        <f t="shared" si="1"/>
        <v>8250</v>
      </c>
      <c r="W45" s="276" t="s">
        <v>219</v>
      </c>
    </row>
    <row r="46" spans="1:23" ht="12.75">
      <c r="A46" s="239"/>
      <c r="B46" s="240" t="s">
        <v>95</v>
      </c>
      <c r="C46" s="241"/>
      <c r="D46" s="241"/>
      <c r="E46" s="241"/>
      <c r="F46" s="241"/>
      <c r="G46" s="241"/>
      <c r="H46" s="241"/>
      <c r="I46" s="241"/>
      <c r="J46" s="241"/>
      <c r="K46" s="241"/>
      <c r="L46" s="241"/>
      <c r="M46" s="241"/>
      <c r="N46" s="241"/>
      <c r="O46" s="241"/>
      <c r="P46" s="241"/>
      <c r="Q46" s="241"/>
      <c r="R46" s="241"/>
      <c r="S46" s="241"/>
      <c r="T46" s="241"/>
      <c r="U46" s="267"/>
      <c r="V46" s="288">
        <f t="shared" si="1"/>
        <v>0</v>
      </c>
      <c r="W46" s="276" t="s">
        <v>149</v>
      </c>
    </row>
    <row r="47" spans="1:23" ht="12.75">
      <c r="A47" s="239"/>
      <c r="B47" s="240" t="s">
        <v>100</v>
      </c>
      <c r="C47" s="241">
        <v>11.46</v>
      </c>
      <c r="D47" s="241"/>
      <c r="E47" s="241">
        <v>0.1</v>
      </c>
      <c r="F47" s="241">
        <v>1.39</v>
      </c>
      <c r="G47" s="241">
        <v>0.03</v>
      </c>
      <c r="H47" s="241"/>
      <c r="I47" s="241"/>
      <c r="J47" s="241"/>
      <c r="K47" s="241"/>
      <c r="L47" s="241"/>
      <c r="M47" s="241"/>
      <c r="N47" s="241">
        <v>0.2</v>
      </c>
      <c r="O47" s="241"/>
      <c r="P47" s="241">
        <v>2.98</v>
      </c>
      <c r="Q47" s="241">
        <v>-0.23</v>
      </c>
      <c r="R47" s="241">
        <v>0.29</v>
      </c>
      <c r="S47" s="241">
        <v>0.5</v>
      </c>
      <c r="T47" s="241"/>
      <c r="U47" s="267"/>
      <c r="V47" s="288">
        <f t="shared" si="1"/>
        <v>16.72</v>
      </c>
      <c r="W47" s="276" t="s">
        <v>40</v>
      </c>
    </row>
    <row r="48" spans="1:24" ht="12.75">
      <c r="A48" s="239"/>
      <c r="B48" s="240" t="s">
        <v>101</v>
      </c>
      <c r="C48" s="241">
        <v>277987</v>
      </c>
      <c r="D48" s="241"/>
      <c r="E48" s="241"/>
      <c r="F48" s="241"/>
      <c r="G48" s="241"/>
      <c r="H48" s="241"/>
      <c r="I48" s="241"/>
      <c r="J48" s="241"/>
      <c r="K48" s="241"/>
      <c r="L48" s="241"/>
      <c r="M48" s="241"/>
      <c r="N48" s="241"/>
      <c r="O48" s="241"/>
      <c r="P48" s="241"/>
      <c r="Q48" s="241"/>
      <c r="R48" s="241"/>
      <c r="S48" s="241"/>
      <c r="T48" s="241"/>
      <c r="U48" s="267"/>
      <c r="V48" s="288">
        <f t="shared" si="1"/>
        <v>277987</v>
      </c>
      <c r="W48" s="276" t="s">
        <v>131</v>
      </c>
      <c r="X48" s="97"/>
    </row>
    <row r="49" spans="1:23" ht="12.75">
      <c r="A49" s="239"/>
      <c r="B49" s="240" t="s">
        <v>96</v>
      </c>
      <c r="C49" s="241">
        <v>1636</v>
      </c>
      <c r="D49" s="241"/>
      <c r="E49" s="241"/>
      <c r="F49" s="241">
        <v>3553</v>
      </c>
      <c r="G49" s="241"/>
      <c r="H49" s="241"/>
      <c r="I49" s="241"/>
      <c r="J49" s="241"/>
      <c r="K49" s="241">
        <v>2171</v>
      </c>
      <c r="L49" s="241">
        <v>2136</v>
      </c>
      <c r="M49" s="241"/>
      <c r="N49" s="241">
        <v>1051</v>
      </c>
      <c r="O49" s="241"/>
      <c r="P49" s="241">
        <v>2230</v>
      </c>
      <c r="Q49" s="241">
        <v>116</v>
      </c>
      <c r="R49" s="241"/>
      <c r="S49" s="241">
        <v>3485</v>
      </c>
      <c r="T49" s="241"/>
      <c r="U49" s="267"/>
      <c r="V49" s="288">
        <f t="shared" si="1"/>
        <v>16378</v>
      </c>
      <c r="W49" s="276" t="s">
        <v>150</v>
      </c>
    </row>
    <row r="50" spans="1:23" ht="12.75">
      <c r="A50" s="239"/>
      <c r="B50" s="240" t="s">
        <v>102</v>
      </c>
      <c r="C50" s="241"/>
      <c r="D50" s="241"/>
      <c r="E50" s="241"/>
      <c r="F50" s="241"/>
      <c r="G50" s="241"/>
      <c r="H50" s="241">
        <v>527500</v>
      </c>
      <c r="I50" s="241"/>
      <c r="J50" s="241"/>
      <c r="K50" s="241"/>
      <c r="L50" s="241"/>
      <c r="M50" s="241"/>
      <c r="N50" s="241"/>
      <c r="O50" s="241"/>
      <c r="P50" s="241"/>
      <c r="Q50" s="241"/>
      <c r="R50" s="241"/>
      <c r="S50" s="241">
        <v>82370</v>
      </c>
      <c r="T50" s="241">
        <v>48857.76</v>
      </c>
      <c r="U50" s="267"/>
      <c r="V50" s="288">
        <f t="shared" si="1"/>
        <v>658727.76</v>
      </c>
      <c r="W50" s="276" t="s">
        <v>414</v>
      </c>
    </row>
    <row r="51" spans="1:23" ht="12.75">
      <c r="A51" s="239"/>
      <c r="B51" s="240" t="s">
        <v>197</v>
      </c>
      <c r="C51" s="241"/>
      <c r="D51" s="241"/>
      <c r="E51" s="241"/>
      <c r="F51" s="241">
        <v>1332200</v>
      </c>
      <c r="G51" s="241">
        <v>900</v>
      </c>
      <c r="H51" s="241"/>
      <c r="I51" s="241"/>
      <c r="J51" s="241"/>
      <c r="K51" s="241"/>
      <c r="L51" s="241"/>
      <c r="M51" s="241"/>
      <c r="N51" s="241">
        <v>145800</v>
      </c>
      <c r="O51" s="241"/>
      <c r="P51" s="241"/>
      <c r="Q51" s="241"/>
      <c r="R51" s="241">
        <v>1000</v>
      </c>
      <c r="S51" s="241"/>
      <c r="T51" s="241"/>
      <c r="U51" s="267"/>
      <c r="V51" s="288">
        <f t="shared" si="1"/>
        <v>1479900</v>
      </c>
      <c r="W51" s="276" t="s">
        <v>198</v>
      </c>
    </row>
    <row r="52" spans="1:23" ht="12.75">
      <c r="A52" s="239"/>
      <c r="B52" s="240" t="s">
        <v>199</v>
      </c>
      <c r="C52" s="241">
        <v>19325.56</v>
      </c>
      <c r="D52" s="241"/>
      <c r="E52" s="241"/>
      <c r="F52" s="241"/>
      <c r="G52" s="241">
        <v>1040</v>
      </c>
      <c r="H52" s="241"/>
      <c r="I52" s="241"/>
      <c r="J52" s="241"/>
      <c r="K52" s="241"/>
      <c r="L52" s="241"/>
      <c r="M52" s="241"/>
      <c r="N52" s="241"/>
      <c r="O52" s="241"/>
      <c r="P52" s="241"/>
      <c r="Q52" s="241"/>
      <c r="R52" s="241"/>
      <c r="S52" s="241"/>
      <c r="T52" s="241"/>
      <c r="U52" s="267"/>
      <c r="V52" s="288">
        <f t="shared" si="1"/>
        <v>20365.56</v>
      </c>
      <c r="W52" s="276" t="s">
        <v>132</v>
      </c>
    </row>
    <row r="53" spans="1:23" ht="12.75">
      <c r="A53" s="239">
        <v>549</v>
      </c>
      <c r="B53" s="240" t="s">
        <v>103</v>
      </c>
      <c r="C53" s="241">
        <v>-842406</v>
      </c>
      <c r="D53" s="241"/>
      <c r="E53" s="241"/>
      <c r="F53" s="241">
        <v>482200</v>
      </c>
      <c r="G53" s="241"/>
      <c r="H53" s="241"/>
      <c r="I53" s="241"/>
      <c r="J53" s="241"/>
      <c r="K53" s="241"/>
      <c r="L53" s="241"/>
      <c r="M53" s="241"/>
      <c r="N53" s="241"/>
      <c r="O53" s="241"/>
      <c r="P53" s="241"/>
      <c r="Q53" s="241">
        <v>27000</v>
      </c>
      <c r="R53" s="241"/>
      <c r="S53" s="241">
        <v>600000</v>
      </c>
      <c r="T53" s="241"/>
      <c r="U53" s="267"/>
      <c r="V53" s="288">
        <f t="shared" si="1"/>
        <v>266794</v>
      </c>
      <c r="W53" s="276" t="s">
        <v>133</v>
      </c>
    </row>
    <row r="54" spans="1:23" ht="12.75">
      <c r="A54" s="239">
        <v>549</v>
      </c>
      <c r="B54" s="240" t="s">
        <v>104</v>
      </c>
      <c r="C54" s="241"/>
      <c r="D54" s="241"/>
      <c r="E54" s="241"/>
      <c r="F54" s="241"/>
      <c r="G54" s="241"/>
      <c r="H54" s="241"/>
      <c r="I54" s="241"/>
      <c r="J54" s="241"/>
      <c r="K54" s="241"/>
      <c r="L54" s="241"/>
      <c r="M54" s="241"/>
      <c r="N54" s="241"/>
      <c r="O54" s="241"/>
      <c r="P54" s="241"/>
      <c r="Q54" s="241"/>
      <c r="R54" s="241"/>
      <c r="S54" s="241"/>
      <c r="T54" s="241"/>
      <c r="U54" s="267"/>
      <c r="V54" s="288">
        <f t="shared" si="1"/>
        <v>0</v>
      </c>
      <c r="W54" s="276" t="s">
        <v>134</v>
      </c>
    </row>
    <row r="55" spans="1:23" ht="12.75">
      <c r="A55" s="239">
        <v>551</v>
      </c>
      <c r="B55" s="240" t="s">
        <v>89</v>
      </c>
      <c r="C55" s="241"/>
      <c r="D55" s="241"/>
      <c r="E55" s="241"/>
      <c r="F55" s="241"/>
      <c r="G55" s="241"/>
      <c r="H55" s="241"/>
      <c r="I55" s="241"/>
      <c r="J55" s="241"/>
      <c r="K55" s="241"/>
      <c r="L55" s="241"/>
      <c r="M55" s="241"/>
      <c r="N55" s="241"/>
      <c r="O55" s="241"/>
      <c r="P55" s="241"/>
      <c r="Q55" s="241"/>
      <c r="R55" s="241"/>
      <c r="S55" s="241"/>
      <c r="T55" s="241"/>
      <c r="U55" s="267"/>
      <c r="V55" s="288">
        <f t="shared" si="1"/>
        <v>0</v>
      </c>
      <c r="W55" s="276" t="s">
        <v>200</v>
      </c>
    </row>
    <row r="56" spans="1:23" ht="13.5" thickBot="1">
      <c r="A56" s="242">
        <v>582</v>
      </c>
      <c r="B56" s="243" t="s">
        <v>105</v>
      </c>
      <c r="C56" s="244"/>
      <c r="D56" s="244"/>
      <c r="E56" s="244"/>
      <c r="F56" s="244"/>
      <c r="G56" s="244">
        <v>2633.7</v>
      </c>
      <c r="H56" s="244"/>
      <c r="I56" s="244"/>
      <c r="J56" s="244"/>
      <c r="K56" s="244"/>
      <c r="L56" s="244"/>
      <c r="M56" s="244"/>
      <c r="N56" s="244"/>
      <c r="O56" s="244"/>
      <c r="P56" s="244"/>
      <c r="Q56" s="244"/>
      <c r="R56" s="244"/>
      <c r="S56" s="244"/>
      <c r="T56" s="244"/>
      <c r="U56" s="268"/>
      <c r="V56" s="289">
        <f t="shared" si="1"/>
        <v>2633.7</v>
      </c>
      <c r="W56" s="277" t="s">
        <v>151</v>
      </c>
    </row>
    <row r="57" spans="1:23" s="50" customFormat="1" ht="13.5" thickBot="1">
      <c r="A57" s="245" t="s">
        <v>1</v>
      </c>
      <c r="B57" s="246"/>
      <c r="C57" s="247">
        <f aca="true" t="shared" si="2" ref="C57:V57">SUM(C4:C56)</f>
        <v>66164675.370000005</v>
      </c>
      <c r="D57" s="247">
        <f t="shared" si="2"/>
        <v>1035970.72</v>
      </c>
      <c r="E57" s="247">
        <f t="shared" si="2"/>
        <v>69116.53</v>
      </c>
      <c r="F57" s="247">
        <f t="shared" si="2"/>
        <v>5416000</v>
      </c>
      <c r="G57" s="247">
        <f t="shared" si="2"/>
        <v>1276354.12</v>
      </c>
      <c r="H57" s="247">
        <f t="shared" si="2"/>
        <v>4500000</v>
      </c>
      <c r="I57" s="247">
        <f t="shared" si="2"/>
        <v>19608</v>
      </c>
      <c r="J57" s="247">
        <f t="shared" si="2"/>
        <v>24731.88</v>
      </c>
      <c r="K57" s="247">
        <f t="shared" si="2"/>
        <v>5530074.56</v>
      </c>
      <c r="L57" s="247">
        <f t="shared" si="2"/>
        <v>3753307.2800000003</v>
      </c>
      <c r="M57" s="247">
        <f t="shared" si="2"/>
        <v>153249</v>
      </c>
      <c r="N57" s="247">
        <f t="shared" si="2"/>
        <v>2171440</v>
      </c>
      <c r="O57" s="247">
        <f t="shared" si="2"/>
        <v>244400</v>
      </c>
      <c r="P57" s="247">
        <f t="shared" si="2"/>
        <v>21620000</v>
      </c>
      <c r="Q57" s="247">
        <f t="shared" si="2"/>
        <v>561000</v>
      </c>
      <c r="R57" s="247">
        <f t="shared" si="2"/>
        <v>106677.06999999999</v>
      </c>
      <c r="S57" s="247">
        <f t="shared" si="2"/>
        <v>3692500</v>
      </c>
      <c r="T57" s="247">
        <f t="shared" si="2"/>
        <v>82000</v>
      </c>
      <c r="U57" s="269">
        <f t="shared" si="2"/>
        <v>389479.54</v>
      </c>
      <c r="V57" s="290">
        <f t="shared" si="2"/>
        <v>116810584.07000001</v>
      </c>
      <c r="W57" s="278" t="s">
        <v>1</v>
      </c>
    </row>
    <row r="58" spans="1:23" ht="12.75">
      <c r="A58" s="248">
        <v>601</v>
      </c>
      <c r="B58" s="249" t="s">
        <v>85</v>
      </c>
      <c r="C58" s="250"/>
      <c r="D58" s="250"/>
      <c r="E58" s="250"/>
      <c r="F58" s="250"/>
      <c r="G58" s="250">
        <v>311292.73</v>
      </c>
      <c r="H58" s="250"/>
      <c r="I58" s="250"/>
      <c r="J58" s="250"/>
      <c r="K58" s="250"/>
      <c r="L58" s="250"/>
      <c r="M58" s="250"/>
      <c r="N58" s="250"/>
      <c r="O58" s="250"/>
      <c r="P58" s="250"/>
      <c r="Q58" s="250"/>
      <c r="R58" s="250"/>
      <c r="S58" s="250"/>
      <c r="T58" s="250"/>
      <c r="U58" s="270"/>
      <c r="V58" s="291">
        <f aca="true" t="shared" si="3" ref="V58:V67">SUM(C58:U58)</f>
        <v>311292.73</v>
      </c>
      <c r="W58" s="279" t="s">
        <v>152</v>
      </c>
    </row>
    <row r="59" spans="1:23" ht="12.75">
      <c r="A59" s="251">
        <v>602</v>
      </c>
      <c r="B59" s="252" t="s">
        <v>85</v>
      </c>
      <c r="C59" s="253"/>
      <c r="D59" s="253"/>
      <c r="E59" s="253"/>
      <c r="F59" s="253"/>
      <c r="G59" s="253">
        <v>196634</v>
      </c>
      <c r="H59" s="253"/>
      <c r="I59" s="253"/>
      <c r="J59" s="253"/>
      <c r="K59" s="253"/>
      <c r="L59" s="253"/>
      <c r="M59" s="253"/>
      <c r="N59" s="253"/>
      <c r="O59" s="253"/>
      <c r="P59" s="253"/>
      <c r="Q59" s="253"/>
      <c r="R59" s="253"/>
      <c r="S59" s="253"/>
      <c r="T59" s="253"/>
      <c r="U59" s="271"/>
      <c r="V59" s="292">
        <f t="shared" si="3"/>
        <v>196634</v>
      </c>
      <c r="W59" s="280" t="s">
        <v>153</v>
      </c>
    </row>
    <row r="60" spans="1:23" ht="12.75">
      <c r="A60" s="251"/>
      <c r="B60" s="252" t="s">
        <v>87</v>
      </c>
      <c r="C60" s="253"/>
      <c r="D60" s="253"/>
      <c r="E60" s="253"/>
      <c r="F60" s="253"/>
      <c r="G60" s="253">
        <v>1704462.27</v>
      </c>
      <c r="H60" s="253"/>
      <c r="I60" s="253"/>
      <c r="J60" s="253"/>
      <c r="K60" s="253"/>
      <c r="L60" s="253"/>
      <c r="M60" s="253"/>
      <c r="N60" s="253"/>
      <c r="O60" s="253"/>
      <c r="P60" s="253"/>
      <c r="Q60" s="253"/>
      <c r="R60" s="253"/>
      <c r="S60" s="253"/>
      <c r="T60" s="253"/>
      <c r="U60" s="271"/>
      <c r="V60" s="292">
        <f t="shared" si="3"/>
        <v>1704462.27</v>
      </c>
      <c r="W60" s="280" t="s">
        <v>154</v>
      </c>
    </row>
    <row r="61" spans="1:23" ht="12.75">
      <c r="A61" s="251"/>
      <c r="B61" s="252" t="s">
        <v>89</v>
      </c>
      <c r="C61" s="253"/>
      <c r="D61" s="253"/>
      <c r="E61" s="253"/>
      <c r="F61" s="253"/>
      <c r="G61" s="253">
        <v>2713.22</v>
      </c>
      <c r="H61" s="253"/>
      <c r="I61" s="253"/>
      <c r="J61" s="253"/>
      <c r="K61" s="253"/>
      <c r="L61" s="253"/>
      <c r="M61" s="253"/>
      <c r="N61" s="253"/>
      <c r="O61" s="253"/>
      <c r="P61" s="253"/>
      <c r="Q61" s="253"/>
      <c r="R61" s="253"/>
      <c r="S61" s="253"/>
      <c r="T61" s="253"/>
      <c r="U61" s="271"/>
      <c r="V61" s="292">
        <f t="shared" si="3"/>
        <v>2713.22</v>
      </c>
      <c r="W61" s="280" t="s">
        <v>155</v>
      </c>
    </row>
    <row r="62" spans="1:23" ht="12.75">
      <c r="A62" s="251"/>
      <c r="B62" s="252" t="s">
        <v>91</v>
      </c>
      <c r="C62" s="253"/>
      <c r="D62" s="253"/>
      <c r="E62" s="253"/>
      <c r="F62" s="253"/>
      <c r="G62" s="253"/>
      <c r="H62" s="253"/>
      <c r="I62" s="253"/>
      <c r="J62" s="253"/>
      <c r="K62" s="253"/>
      <c r="L62" s="253"/>
      <c r="M62" s="253"/>
      <c r="N62" s="253"/>
      <c r="O62" s="253"/>
      <c r="P62" s="253"/>
      <c r="Q62" s="253"/>
      <c r="R62" s="253"/>
      <c r="S62" s="253"/>
      <c r="T62" s="253"/>
      <c r="U62" s="271"/>
      <c r="V62" s="292">
        <f t="shared" si="3"/>
        <v>0</v>
      </c>
      <c r="W62" s="280" t="s">
        <v>156</v>
      </c>
    </row>
    <row r="63" spans="1:23" ht="12.75">
      <c r="A63" s="251"/>
      <c r="B63" s="252" t="s">
        <v>99</v>
      </c>
      <c r="C63" s="253"/>
      <c r="D63" s="253">
        <v>1190606.44</v>
      </c>
      <c r="E63" s="253">
        <v>108150.95</v>
      </c>
      <c r="F63" s="253"/>
      <c r="G63" s="253"/>
      <c r="H63" s="253"/>
      <c r="I63" s="253"/>
      <c r="J63" s="253"/>
      <c r="K63" s="253"/>
      <c r="L63" s="253"/>
      <c r="M63" s="253"/>
      <c r="N63" s="253"/>
      <c r="O63" s="253"/>
      <c r="P63" s="253"/>
      <c r="Q63" s="253"/>
      <c r="R63" s="253"/>
      <c r="S63" s="253"/>
      <c r="T63" s="253"/>
      <c r="U63" s="271"/>
      <c r="V63" s="292">
        <f t="shared" si="3"/>
        <v>1298757.39</v>
      </c>
      <c r="W63" s="280" t="s">
        <v>157</v>
      </c>
    </row>
    <row r="64" spans="1:23" ht="12.75">
      <c r="A64" s="251">
        <v>602</v>
      </c>
      <c r="B64" s="252" t="s">
        <v>95</v>
      </c>
      <c r="C64" s="253"/>
      <c r="D64" s="253"/>
      <c r="E64" s="253"/>
      <c r="F64" s="253"/>
      <c r="G64" s="253"/>
      <c r="H64" s="253"/>
      <c r="I64" s="253"/>
      <c r="J64" s="253"/>
      <c r="K64" s="253"/>
      <c r="L64" s="253"/>
      <c r="M64" s="253"/>
      <c r="N64" s="253"/>
      <c r="O64" s="253"/>
      <c r="P64" s="253"/>
      <c r="Q64" s="253"/>
      <c r="R64" s="253"/>
      <c r="S64" s="253"/>
      <c r="T64" s="253"/>
      <c r="U64" s="271">
        <v>190000</v>
      </c>
      <c r="V64" s="292">
        <f t="shared" si="3"/>
        <v>190000</v>
      </c>
      <c r="W64" s="280" t="s">
        <v>158</v>
      </c>
    </row>
    <row r="65" spans="1:23" ht="12.75">
      <c r="A65" s="251"/>
      <c r="B65" s="252" t="s">
        <v>104</v>
      </c>
      <c r="C65" s="253"/>
      <c r="D65" s="253"/>
      <c r="E65" s="253"/>
      <c r="F65" s="253"/>
      <c r="G65" s="253"/>
      <c r="H65" s="253"/>
      <c r="I65" s="253"/>
      <c r="J65" s="253"/>
      <c r="K65" s="253"/>
      <c r="L65" s="253"/>
      <c r="M65" s="253"/>
      <c r="N65" s="253"/>
      <c r="O65" s="253"/>
      <c r="P65" s="253"/>
      <c r="Q65" s="253"/>
      <c r="R65" s="253"/>
      <c r="S65" s="253"/>
      <c r="T65" s="253"/>
      <c r="U65" s="271"/>
      <c r="V65" s="292">
        <f t="shared" si="3"/>
        <v>0</v>
      </c>
      <c r="W65" s="280" t="s">
        <v>247</v>
      </c>
    </row>
    <row r="66" spans="1:23" ht="12.75">
      <c r="A66" s="251"/>
      <c r="B66" s="252" t="s">
        <v>415</v>
      </c>
      <c r="C66" s="253"/>
      <c r="D66" s="253"/>
      <c r="E66" s="253"/>
      <c r="F66" s="253"/>
      <c r="G66" s="253"/>
      <c r="H66" s="253"/>
      <c r="I66" s="253"/>
      <c r="J66" s="253"/>
      <c r="K66" s="253"/>
      <c r="L66" s="253"/>
      <c r="M66" s="253"/>
      <c r="N66" s="253"/>
      <c r="O66" s="253"/>
      <c r="P66" s="253"/>
      <c r="Q66" s="253"/>
      <c r="R66" s="253"/>
      <c r="S66" s="253"/>
      <c r="T66" s="253"/>
      <c r="U66" s="271">
        <v>368280</v>
      </c>
      <c r="V66" s="292">
        <f t="shared" si="3"/>
        <v>368280</v>
      </c>
      <c r="W66" s="280" t="s">
        <v>416</v>
      </c>
    </row>
    <row r="67" spans="1:23" ht="12.75">
      <c r="A67" s="251"/>
      <c r="B67" s="252" t="s">
        <v>208</v>
      </c>
      <c r="C67" s="253"/>
      <c r="D67" s="253"/>
      <c r="E67" s="253"/>
      <c r="F67" s="253"/>
      <c r="G67" s="253"/>
      <c r="H67" s="253"/>
      <c r="I67" s="253"/>
      <c r="J67" s="253"/>
      <c r="K67" s="253"/>
      <c r="L67" s="253"/>
      <c r="M67" s="253"/>
      <c r="N67" s="253"/>
      <c r="O67" s="253"/>
      <c r="P67" s="253"/>
      <c r="Q67" s="253"/>
      <c r="R67" s="253"/>
      <c r="S67" s="253"/>
      <c r="T67" s="253"/>
      <c r="U67" s="271"/>
      <c r="V67" s="292">
        <f t="shared" si="3"/>
        <v>0</v>
      </c>
      <c r="W67" s="280" t="s">
        <v>251</v>
      </c>
    </row>
    <row r="68" spans="1:23" ht="12.75">
      <c r="A68" s="251">
        <v>604</v>
      </c>
      <c r="B68" s="252" t="s">
        <v>85</v>
      </c>
      <c r="C68" s="253"/>
      <c r="D68" s="253"/>
      <c r="E68" s="253"/>
      <c r="F68" s="253"/>
      <c r="G68" s="253"/>
      <c r="H68" s="253"/>
      <c r="I68" s="253"/>
      <c r="J68" s="253"/>
      <c r="K68" s="253"/>
      <c r="L68" s="253"/>
      <c r="M68" s="253"/>
      <c r="N68" s="253"/>
      <c r="O68" s="253"/>
      <c r="P68" s="253"/>
      <c r="Q68" s="253"/>
      <c r="R68" s="253"/>
      <c r="S68" s="253"/>
      <c r="T68" s="253"/>
      <c r="U68" s="271"/>
      <c r="V68" s="292">
        <f aca="true" t="shared" si="4" ref="V68:V82">SUM(C68:U68)</f>
        <v>0</v>
      </c>
      <c r="W68" s="280" t="s">
        <v>159</v>
      </c>
    </row>
    <row r="69" spans="1:23" ht="12.75">
      <c r="A69" s="251"/>
      <c r="B69" s="252" t="s">
        <v>87</v>
      </c>
      <c r="C69" s="253"/>
      <c r="D69" s="253"/>
      <c r="E69" s="253"/>
      <c r="F69" s="253"/>
      <c r="G69" s="253">
        <v>8875.36</v>
      </c>
      <c r="H69" s="253"/>
      <c r="I69" s="253"/>
      <c r="J69" s="253"/>
      <c r="K69" s="253"/>
      <c r="L69" s="253"/>
      <c r="M69" s="253"/>
      <c r="N69" s="253"/>
      <c r="O69" s="253"/>
      <c r="P69" s="253"/>
      <c r="Q69" s="253"/>
      <c r="R69" s="253"/>
      <c r="S69" s="253"/>
      <c r="T69" s="253"/>
      <c r="U69" s="271"/>
      <c r="V69" s="292">
        <f t="shared" si="4"/>
        <v>8875.36</v>
      </c>
      <c r="W69" s="280" t="s">
        <v>408</v>
      </c>
    </row>
    <row r="70" spans="1:23" ht="12.75">
      <c r="A70" s="251">
        <v>644</v>
      </c>
      <c r="B70" s="252" t="s">
        <v>85</v>
      </c>
      <c r="C70" s="253"/>
      <c r="D70" s="253"/>
      <c r="E70" s="253"/>
      <c r="F70" s="253"/>
      <c r="G70" s="253"/>
      <c r="H70" s="253"/>
      <c r="I70" s="253"/>
      <c r="J70" s="253"/>
      <c r="K70" s="253">
        <v>279.1</v>
      </c>
      <c r="L70" s="253">
        <v>-505.49</v>
      </c>
      <c r="M70" s="253"/>
      <c r="N70" s="253"/>
      <c r="O70" s="253"/>
      <c r="P70" s="253"/>
      <c r="Q70" s="253"/>
      <c r="R70" s="253"/>
      <c r="S70" s="253"/>
      <c r="T70" s="253"/>
      <c r="U70" s="271"/>
      <c r="V70" s="292">
        <f t="shared" si="4"/>
        <v>-226.39</v>
      </c>
      <c r="W70" s="280" t="s">
        <v>250</v>
      </c>
    </row>
    <row r="71" spans="1:23" ht="12.75">
      <c r="A71" s="251">
        <v>648</v>
      </c>
      <c r="B71" s="252" t="s">
        <v>106</v>
      </c>
      <c r="C71" s="253">
        <v>2161048</v>
      </c>
      <c r="D71" s="253"/>
      <c r="E71" s="253"/>
      <c r="F71" s="253"/>
      <c r="G71" s="253"/>
      <c r="H71" s="253"/>
      <c r="I71" s="253"/>
      <c r="J71" s="253"/>
      <c r="K71" s="253"/>
      <c r="L71" s="253"/>
      <c r="M71" s="253"/>
      <c r="N71" s="253"/>
      <c r="O71" s="253"/>
      <c r="P71" s="253"/>
      <c r="Q71" s="253"/>
      <c r="R71" s="253"/>
      <c r="S71" s="253"/>
      <c r="T71" s="253"/>
      <c r="U71" s="271"/>
      <c r="V71" s="292">
        <f t="shared" si="4"/>
        <v>2161048</v>
      </c>
      <c r="W71" s="280" t="s">
        <v>218</v>
      </c>
    </row>
    <row r="72" spans="1:23" ht="12.75">
      <c r="A72" s="251"/>
      <c r="B72" s="252" t="s">
        <v>107</v>
      </c>
      <c r="C72" s="253">
        <v>4192886.49</v>
      </c>
      <c r="D72" s="253"/>
      <c r="E72" s="253"/>
      <c r="F72" s="253"/>
      <c r="G72" s="253"/>
      <c r="H72" s="253"/>
      <c r="I72" s="253"/>
      <c r="J72" s="253"/>
      <c r="K72" s="253"/>
      <c r="L72" s="253"/>
      <c r="M72" s="253"/>
      <c r="N72" s="253"/>
      <c r="O72" s="253"/>
      <c r="P72" s="253"/>
      <c r="Q72" s="253"/>
      <c r="R72" s="253"/>
      <c r="S72" s="253"/>
      <c r="T72" s="253"/>
      <c r="U72" s="271"/>
      <c r="V72" s="292">
        <f t="shared" si="4"/>
        <v>4192886.49</v>
      </c>
      <c r="W72" s="280" t="s">
        <v>160</v>
      </c>
    </row>
    <row r="73" spans="1:23" ht="12.75">
      <c r="A73" s="251"/>
      <c r="B73" s="252" t="s">
        <v>138</v>
      </c>
      <c r="C73" s="253"/>
      <c r="D73" s="253"/>
      <c r="E73" s="253"/>
      <c r="F73" s="253"/>
      <c r="G73" s="253"/>
      <c r="H73" s="253"/>
      <c r="I73" s="253"/>
      <c r="J73" s="253"/>
      <c r="K73" s="253"/>
      <c r="L73" s="253"/>
      <c r="M73" s="253"/>
      <c r="N73" s="253"/>
      <c r="O73" s="253"/>
      <c r="P73" s="253"/>
      <c r="Q73" s="253"/>
      <c r="R73" s="253"/>
      <c r="S73" s="253">
        <v>52500</v>
      </c>
      <c r="T73" s="253"/>
      <c r="U73" s="271"/>
      <c r="V73" s="292">
        <f t="shared" si="4"/>
        <v>52500</v>
      </c>
      <c r="W73" s="280" t="s">
        <v>161</v>
      </c>
    </row>
    <row r="74" spans="1:23" ht="12.75">
      <c r="A74" s="251">
        <v>649</v>
      </c>
      <c r="B74" s="252" t="s">
        <v>85</v>
      </c>
      <c r="C74" s="253"/>
      <c r="D74" s="253"/>
      <c r="E74" s="253"/>
      <c r="F74" s="253"/>
      <c r="G74" s="253"/>
      <c r="H74" s="253"/>
      <c r="I74" s="253"/>
      <c r="J74" s="253"/>
      <c r="K74" s="253"/>
      <c r="L74" s="253"/>
      <c r="M74" s="253"/>
      <c r="N74" s="253"/>
      <c r="O74" s="253"/>
      <c r="P74" s="253"/>
      <c r="Q74" s="253"/>
      <c r="R74" s="253">
        <v>106677.07</v>
      </c>
      <c r="S74" s="253"/>
      <c r="T74" s="253"/>
      <c r="U74" s="271"/>
      <c r="V74" s="292">
        <f t="shared" si="4"/>
        <v>106677.07</v>
      </c>
      <c r="W74" s="280" t="s">
        <v>162</v>
      </c>
    </row>
    <row r="75" spans="1:23" ht="12.75">
      <c r="A75" s="251"/>
      <c r="B75" s="252" t="s">
        <v>87</v>
      </c>
      <c r="C75" s="253">
        <v>12184</v>
      </c>
      <c r="D75" s="253"/>
      <c r="E75" s="253"/>
      <c r="F75" s="253"/>
      <c r="G75" s="253">
        <v>67164</v>
      </c>
      <c r="H75" s="253"/>
      <c r="I75" s="253"/>
      <c r="J75" s="253"/>
      <c r="K75" s="253"/>
      <c r="L75" s="253"/>
      <c r="M75" s="253"/>
      <c r="N75" s="253"/>
      <c r="O75" s="253"/>
      <c r="P75" s="253"/>
      <c r="Q75" s="253"/>
      <c r="R75" s="253"/>
      <c r="S75" s="253"/>
      <c r="T75" s="253"/>
      <c r="U75" s="271"/>
      <c r="V75" s="292">
        <f t="shared" si="4"/>
        <v>79348</v>
      </c>
      <c r="W75" s="280" t="s">
        <v>201</v>
      </c>
    </row>
    <row r="76" spans="1:23" ht="12.75">
      <c r="A76" s="251">
        <v>649</v>
      </c>
      <c r="B76" s="252" t="s">
        <v>91</v>
      </c>
      <c r="C76" s="253"/>
      <c r="D76" s="253"/>
      <c r="E76" s="253"/>
      <c r="F76" s="253"/>
      <c r="G76" s="253">
        <v>25.35</v>
      </c>
      <c r="H76" s="253"/>
      <c r="I76" s="253"/>
      <c r="J76" s="253"/>
      <c r="K76" s="253"/>
      <c r="L76" s="253"/>
      <c r="M76" s="253"/>
      <c r="N76" s="253"/>
      <c r="O76" s="253"/>
      <c r="P76" s="253"/>
      <c r="Q76" s="253"/>
      <c r="R76" s="253"/>
      <c r="S76" s="253"/>
      <c r="T76" s="253"/>
      <c r="U76" s="271"/>
      <c r="V76" s="292">
        <f t="shared" si="4"/>
        <v>25.35</v>
      </c>
      <c r="W76" s="280" t="s">
        <v>40</v>
      </c>
    </row>
    <row r="77" spans="1:23" ht="12.75">
      <c r="A77" s="251">
        <v>682</v>
      </c>
      <c r="B77" s="252" t="s">
        <v>108</v>
      </c>
      <c r="C77" s="253"/>
      <c r="D77" s="253"/>
      <c r="E77" s="253"/>
      <c r="F77" s="253"/>
      <c r="G77" s="253"/>
      <c r="H77" s="253"/>
      <c r="I77" s="253"/>
      <c r="J77" s="253"/>
      <c r="K77" s="253"/>
      <c r="L77" s="253"/>
      <c r="M77" s="253"/>
      <c r="N77" s="253"/>
      <c r="O77" s="253"/>
      <c r="P77" s="253"/>
      <c r="Q77" s="253"/>
      <c r="R77" s="253"/>
      <c r="S77" s="253"/>
      <c r="T77" s="253">
        <v>82000</v>
      </c>
      <c r="U77" s="271"/>
      <c r="V77" s="292">
        <f t="shared" si="4"/>
        <v>82000</v>
      </c>
      <c r="W77" s="280" t="s">
        <v>163</v>
      </c>
    </row>
    <row r="78" spans="1:23" ht="12.75">
      <c r="A78" s="251">
        <v>691</v>
      </c>
      <c r="B78" s="252" t="s">
        <v>85</v>
      </c>
      <c r="C78" s="253">
        <v>60140434.76</v>
      </c>
      <c r="D78" s="253"/>
      <c r="E78" s="253"/>
      <c r="F78" s="253"/>
      <c r="G78" s="253"/>
      <c r="H78" s="253">
        <v>4500000</v>
      </c>
      <c r="I78" s="253">
        <v>19608</v>
      </c>
      <c r="J78" s="253"/>
      <c r="K78" s="253"/>
      <c r="L78" s="253"/>
      <c r="M78" s="253"/>
      <c r="N78" s="253">
        <v>2171440</v>
      </c>
      <c r="O78" s="253">
        <v>244400</v>
      </c>
      <c r="P78" s="253"/>
      <c r="Q78" s="253"/>
      <c r="R78" s="253"/>
      <c r="S78" s="253"/>
      <c r="T78" s="253"/>
      <c r="U78" s="271"/>
      <c r="V78" s="292">
        <f t="shared" si="4"/>
        <v>67075882.76</v>
      </c>
      <c r="W78" s="280" t="s">
        <v>164</v>
      </c>
    </row>
    <row r="79" spans="1:23" ht="12.75">
      <c r="A79" s="251"/>
      <c r="B79" s="252" t="s">
        <v>411</v>
      </c>
      <c r="C79" s="253"/>
      <c r="D79" s="253"/>
      <c r="E79" s="253"/>
      <c r="F79" s="253"/>
      <c r="G79" s="253"/>
      <c r="H79" s="253"/>
      <c r="I79" s="253"/>
      <c r="J79" s="253"/>
      <c r="K79" s="253"/>
      <c r="L79" s="253"/>
      <c r="M79" s="253"/>
      <c r="N79" s="253"/>
      <c r="O79" s="253"/>
      <c r="P79" s="253"/>
      <c r="Q79" s="253">
        <v>561000</v>
      </c>
      <c r="R79" s="253"/>
      <c r="S79" s="253"/>
      <c r="T79" s="253"/>
      <c r="U79" s="271"/>
      <c r="V79" s="292">
        <f t="shared" si="4"/>
        <v>561000</v>
      </c>
      <c r="W79" s="280" t="s">
        <v>412</v>
      </c>
    </row>
    <row r="80" spans="1:23" ht="12.75">
      <c r="A80" s="251"/>
      <c r="B80" s="252" t="s">
        <v>409</v>
      </c>
      <c r="C80" s="253"/>
      <c r="D80" s="253"/>
      <c r="E80" s="253"/>
      <c r="F80" s="253"/>
      <c r="G80" s="253"/>
      <c r="H80" s="253"/>
      <c r="I80" s="253"/>
      <c r="J80" s="253">
        <v>24731.88</v>
      </c>
      <c r="K80" s="253"/>
      <c r="L80" s="253"/>
      <c r="M80" s="253"/>
      <c r="N80" s="253"/>
      <c r="O80" s="253"/>
      <c r="P80" s="253"/>
      <c r="Q80" s="253"/>
      <c r="R80" s="253"/>
      <c r="S80" s="253"/>
      <c r="T80" s="253"/>
      <c r="U80" s="271"/>
      <c r="V80" s="292">
        <f t="shared" si="4"/>
        <v>24731.88</v>
      </c>
      <c r="W80" s="280" t="s">
        <v>413</v>
      </c>
    </row>
    <row r="81" spans="1:23" ht="12.75">
      <c r="A81" s="251"/>
      <c r="B81" s="252" t="s">
        <v>89</v>
      </c>
      <c r="C81" s="253"/>
      <c r="D81" s="253"/>
      <c r="E81" s="253"/>
      <c r="F81" s="253"/>
      <c r="G81" s="253"/>
      <c r="H81" s="253"/>
      <c r="I81" s="253"/>
      <c r="J81" s="253"/>
      <c r="K81" s="253"/>
      <c r="L81" s="253"/>
      <c r="M81" s="253">
        <v>153249</v>
      </c>
      <c r="N81" s="253"/>
      <c r="O81" s="253"/>
      <c r="P81" s="253"/>
      <c r="Q81" s="253"/>
      <c r="R81" s="253"/>
      <c r="S81" s="253"/>
      <c r="T81" s="253"/>
      <c r="U81" s="271"/>
      <c r="V81" s="292">
        <f t="shared" si="4"/>
        <v>153249</v>
      </c>
      <c r="W81" s="280" t="s">
        <v>165</v>
      </c>
    </row>
    <row r="82" spans="1:23" ht="12.75">
      <c r="A82" s="251"/>
      <c r="B82" s="252" t="s">
        <v>205</v>
      </c>
      <c r="C82" s="253"/>
      <c r="D82" s="253"/>
      <c r="E82" s="253"/>
      <c r="F82" s="253"/>
      <c r="G82" s="253"/>
      <c r="H82" s="253"/>
      <c r="I82" s="253"/>
      <c r="J82" s="253"/>
      <c r="K82" s="253">
        <v>5529795.46</v>
      </c>
      <c r="L82" s="253">
        <v>3753812.77</v>
      </c>
      <c r="M82" s="253"/>
      <c r="N82" s="253"/>
      <c r="O82" s="253"/>
      <c r="P82" s="253"/>
      <c r="Q82" s="253"/>
      <c r="R82" s="253"/>
      <c r="S82" s="253"/>
      <c r="T82" s="253"/>
      <c r="U82" s="271"/>
      <c r="V82" s="292">
        <f t="shared" si="4"/>
        <v>9283608.23</v>
      </c>
      <c r="W82" s="280" t="s">
        <v>248</v>
      </c>
    </row>
    <row r="83" spans="1:23" ht="12.75">
      <c r="A83" s="251"/>
      <c r="B83" s="252" t="s">
        <v>93</v>
      </c>
      <c r="C83" s="253"/>
      <c r="D83" s="253"/>
      <c r="E83" s="253"/>
      <c r="F83" s="253">
        <v>5416000</v>
      </c>
      <c r="G83" s="253"/>
      <c r="H83" s="253"/>
      <c r="I83" s="253"/>
      <c r="J83" s="253"/>
      <c r="K83" s="253"/>
      <c r="L83" s="253"/>
      <c r="M83" s="253"/>
      <c r="N83" s="253"/>
      <c r="O83" s="253"/>
      <c r="P83" s="253"/>
      <c r="Q83" s="253"/>
      <c r="R83" s="253"/>
      <c r="S83" s="253"/>
      <c r="T83" s="253"/>
      <c r="U83" s="271"/>
      <c r="V83" s="292">
        <f>SUM(C83:U83)</f>
        <v>5416000</v>
      </c>
      <c r="W83" s="280" t="s">
        <v>166</v>
      </c>
    </row>
    <row r="84" spans="1:23" ht="12.75">
      <c r="A84" s="251"/>
      <c r="B84" s="252" t="s">
        <v>207</v>
      </c>
      <c r="C84" s="253"/>
      <c r="D84" s="253"/>
      <c r="E84" s="253"/>
      <c r="F84" s="253"/>
      <c r="G84" s="253"/>
      <c r="H84" s="253"/>
      <c r="I84" s="253"/>
      <c r="J84" s="253"/>
      <c r="K84" s="253"/>
      <c r="L84" s="253"/>
      <c r="M84" s="253"/>
      <c r="N84" s="253"/>
      <c r="O84" s="253"/>
      <c r="P84" s="253">
        <v>21620000</v>
      </c>
      <c r="Q84" s="253"/>
      <c r="R84" s="253"/>
      <c r="S84" s="253"/>
      <c r="T84" s="253"/>
      <c r="U84" s="271"/>
      <c r="V84" s="292">
        <f>SUM(C84:U84)</f>
        <v>21620000</v>
      </c>
      <c r="W84" s="280" t="s">
        <v>249</v>
      </c>
    </row>
    <row r="85" spans="1:23" ht="13.5" thickBot="1">
      <c r="A85" s="254"/>
      <c r="B85" s="255" t="s">
        <v>139</v>
      </c>
      <c r="C85" s="256"/>
      <c r="D85" s="256"/>
      <c r="E85" s="256"/>
      <c r="F85" s="256"/>
      <c r="G85" s="256"/>
      <c r="H85" s="256"/>
      <c r="I85" s="256"/>
      <c r="J85" s="256"/>
      <c r="K85" s="256"/>
      <c r="L85" s="256"/>
      <c r="M85" s="256"/>
      <c r="N85" s="256"/>
      <c r="O85" s="256"/>
      <c r="P85" s="256"/>
      <c r="Q85" s="256"/>
      <c r="R85" s="256"/>
      <c r="S85" s="256">
        <v>3640000</v>
      </c>
      <c r="T85" s="256"/>
      <c r="U85" s="272"/>
      <c r="V85" s="293">
        <f>SUM(C85:U85)</f>
        <v>3640000</v>
      </c>
      <c r="W85" s="281" t="s">
        <v>167</v>
      </c>
    </row>
    <row r="86" spans="1:23" s="50" customFormat="1" ht="13.5" thickBot="1">
      <c r="A86" s="257" t="s">
        <v>2</v>
      </c>
      <c r="B86" s="258"/>
      <c r="C86" s="259">
        <f>SUM(C58:C85)</f>
        <v>66506553.25</v>
      </c>
      <c r="D86" s="259">
        <f>SUM(D58:D85)</f>
        <v>1190606.44</v>
      </c>
      <c r="E86" s="259">
        <f>SUM(E58:E85)</f>
        <v>108150.95</v>
      </c>
      <c r="F86" s="259">
        <f>SUM(F71:F83)</f>
        <v>5416000</v>
      </c>
      <c r="G86" s="259">
        <f aca="true" t="shared" si="5" ref="G86:V86">SUM(G58:G85)</f>
        <v>2291166.93</v>
      </c>
      <c r="H86" s="259">
        <f t="shared" si="5"/>
        <v>4500000</v>
      </c>
      <c r="I86" s="259">
        <f t="shared" si="5"/>
        <v>19608</v>
      </c>
      <c r="J86" s="259">
        <f t="shared" si="5"/>
        <v>24731.88</v>
      </c>
      <c r="K86" s="259">
        <f t="shared" si="5"/>
        <v>5530074.56</v>
      </c>
      <c r="L86" s="259">
        <f t="shared" si="5"/>
        <v>3753307.28</v>
      </c>
      <c r="M86" s="259">
        <f t="shared" si="5"/>
        <v>153249</v>
      </c>
      <c r="N86" s="259">
        <f t="shared" si="5"/>
        <v>2171440</v>
      </c>
      <c r="O86" s="259">
        <f t="shared" si="5"/>
        <v>244400</v>
      </c>
      <c r="P86" s="259">
        <f t="shared" si="5"/>
        <v>21620000</v>
      </c>
      <c r="Q86" s="259">
        <f t="shared" si="5"/>
        <v>561000</v>
      </c>
      <c r="R86" s="259">
        <f t="shared" si="5"/>
        <v>106677.07</v>
      </c>
      <c r="S86" s="259">
        <f t="shared" si="5"/>
        <v>3692500</v>
      </c>
      <c r="T86" s="259">
        <f t="shared" si="5"/>
        <v>82000</v>
      </c>
      <c r="U86" s="273">
        <f t="shared" si="5"/>
        <v>558280</v>
      </c>
      <c r="V86" s="294">
        <f t="shared" si="5"/>
        <v>118529745.36</v>
      </c>
      <c r="W86" s="282" t="s">
        <v>2</v>
      </c>
    </row>
    <row r="87" spans="1:23" ht="12.75">
      <c r="A87" s="305" t="s">
        <v>1</v>
      </c>
      <c r="B87" s="260"/>
      <c r="C87" s="261">
        <f aca="true" t="shared" si="6" ref="C87:U87">C57</f>
        <v>66164675.370000005</v>
      </c>
      <c r="D87" s="261">
        <f t="shared" si="6"/>
        <v>1035970.72</v>
      </c>
      <c r="E87" s="261">
        <f t="shared" si="6"/>
        <v>69116.53</v>
      </c>
      <c r="F87" s="261">
        <f t="shared" si="6"/>
        <v>5416000</v>
      </c>
      <c r="G87" s="261">
        <f t="shared" si="6"/>
        <v>1276354.12</v>
      </c>
      <c r="H87" s="261">
        <f t="shared" si="6"/>
        <v>4500000</v>
      </c>
      <c r="I87" s="261">
        <f t="shared" si="6"/>
        <v>19608</v>
      </c>
      <c r="J87" s="261">
        <f t="shared" si="6"/>
        <v>24731.88</v>
      </c>
      <c r="K87" s="261">
        <f t="shared" si="6"/>
        <v>5530074.56</v>
      </c>
      <c r="L87" s="261">
        <f t="shared" si="6"/>
        <v>3753307.2800000003</v>
      </c>
      <c r="M87" s="261">
        <f t="shared" si="6"/>
        <v>153249</v>
      </c>
      <c r="N87" s="261">
        <f t="shared" si="6"/>
        <v>2171440</v>
      </c>
      <c r="O87" s="261">
        <f t="shared" si="6"/>
        <v>244400</v>
      </c>
      <c r="P87" s="261">
        <f t="shared" si="6"/>
        <v>21620000</v>
      </c>
      <c r="Q87" s="261">
        <f t="shared" si="6"/>
        <v>561000</v>
      </c>
      <c r="R87" s="261">
        <f t="shared" si="6"/>
        <v>106677.06999999999</v>
      </c>
      <c r="S87" s="261">
        <f t="shared" si="6"/>
        <v>3692500</v>
      </c>
      <c r="T87" s="261">
        <f t="shared" si="6"/>
        <v>82000</v>
      </c>
      <c r="U87" s="274">
        <f t="shared" si="6"/>
        <v>389479.54</v>
      </c>
      <c r="V87" s="295">
        <f>SUM(C87:U87)</f>
        <v>116810584.07000001</v>
      </c>
      <c r="W87" s="283" t="s">
        <v>1</v>
      </c>
    </row>
    <row r="88" spans="1:23" ht="13.5" thickBot="1">
      <c r="A88" s="306" t="s">
        <v>2</v>
      </c>
      <c r="B88" s="262"/>
      <c r="C88" s="263">
        <f aca="true" t="shared" si="7" ref="C88:U88">C86</f>
        <v>66506553.25</v>
      </c>
      <c r="D88" s="263">
        <f t="shared" si="7"/>
        <v>1190606.44</v>
      </c>
      <c r="E88" s="263">
        <f t="shared" si="7"/>
        <v>108150.95</v>
      </c>
      <c r="F88" s="263">
        <f t="shared" si="7"/>
        <v>5416000</v>
      </c>
      <c r="G88" s="263">
        <f t="shared" si="7"/>
        <v>2291166.93</v>
      </c>
      <c r="H88" s="263">
        <f t="shared" si="7"/>
        <v>4500000</v>
      </c>
      <c r="I88" s="263">
        <f t="shared" si="7"/>
        <v>19608</v>
      </c>
      <c r="J88" s="263">
        <f t="shared" si="7"/>
        <v>24731.88</v>
      </c>
      <c r="K88" s="263">
        <f t="shared" si="7"/>
        <v>5530074.56</v>
      </c>
      <c r="L88" s="263">
        <f t="shared" si="7"/>
        <v>3753307.28</v>
      </c>
      <c r="M88" s="263">
        <f t="shared" si="7"/>
        <v>153249</v>
      </c>
      <c r="N88" s="263">
        <f t="shared" si="7"/>
        <v>2171440</v>
      </c>
      <c r="O88" s="263">
        <f t="shared" si="7"/>
        <v>244400</v>
      </c>
      <c r="P88" s="263">
        <f t="shared" si="7"/>
        <v>21620000</v>
      </c>
      <c r="Q88" s="263">
        <f t="shared" si="7"/>
        <v>561000</v>
      </c>
      <c r="R88" s="263">
        <f t="shared" si="7"/>
        <v>106677.07</v>
      </c>
      <c r="S88" s="263">
        <f t="shared" si="7"/>
        <v>3692500</v>
      </c>
      <c r="T88" s="263">
        <f t="shared" si="7"/>
        <v>82000</v>
      </c>
      <c r="U88" s="275">
        <f t="shared" si="7"/>
        <v>558280</v>
      </c>
      <c r="V88" s="296">
        <f>SUM(C88:U88)</f>
        <v>118529745.36</v>
      </c>
      <c r="W88" s="284" t="s">
        <v>2</v>
      </c>
    </row>
    <row r="89" spans="1:23" s="50" customFormat="1" ht="13.5" thickBot="1">
      <c r="A89" s="59"/>
      <c r="B89" s="298"/>
      <c r="C89" s="300">
        <f aca="true" t="shared" si="8" ref="C89:U89">C88-C87</f>
        <v>341877.87999999523</v>
      </c>
      <c r="D89" s="301">
        <f t="shared" si="8"/>
        <v>154635.71999999997</v>
      </c>
      <c r="E89" s="301">
        <f t="shared" si="8"/>
        <v>39034.42</v>
      </c>
      <c r="F89" s="302">
        <f t="shared" si="8"/>
        <v>0</v>
      </c>
      <c r="G89" s="301">
        <f t="shared" si="8"/>
        <v>1014812.81</v>
      </c>
      <c r="H89" s="302">
        <f t="shared" si="8"/>
        <v>0</v>
      </c>
      <c r="I89" s="302">
        <f t="shared" si="8"/>
        <v>0</v>
      </c>
      <c r="J89" s="302">
        <f t="shared" si="8"/>
        <v>0</v>
      </c>
      <c r="K89" s="302">
        <f t="shared" si="8"/>
        <v>0</v>
      </c>
      <c r="L89" s="302">
        <f t="shared" si="8"/>
        <v>0</v>
      </c>
      <c r="M89" s="302">
        <f t="shared" si="8"/>
        <v>0</v>
      </c>
      <c r="N89" s="302">
        <f t="shared" si="8"/>
        <v>0</v>
      </c>
      <c r="O89" s="302">
        <f t="shared" si="8"/>
        <v>0</v>
      </c>
      <c r="P89" s="302">
        <f t="shared" si="8"/>
        <v>0</v>
      </c>
      <c r="Q89" s="302">
        <f t="shared" si="8"/>
        <v>0</v>
      </c>
      <c r="R89" s="302">
        <f t="shared" si="8"/>
        <v>0</v>
      </c>
      <c r="S89" s="302">
        <f t="shared" si="8"/>
        <v>0</v>
      </c>
      <c r="T89" s="302">
        <f t="shared" si="8"/>
        <v>0</v>
      </c>
      <c r="U89" s="303">
        <f t="shared" si="8"/>
        <v>168800.46000000002</v>
      </c>
      <c r="V89" s="304">
        <f>SUM(C89:U89)</f>
        <v>1719161.2899999954</v>
      </c>
      <c r="W89" s="285">
        <f>D89+E89+F89+G89+H89+J89+L89+M89+Q89+R89+S89+T89+U89</f>
        <v>1377283.41</v>
      </c>
    </row>
    <row r="90" spans="21:22" ht="13.5" thickBot="1">
      <c r="U90" s="299" t="s">
        <v>417</v>
      </c>
      <c r="V90" s="297">
        <f>W89</f>
        <v>1377283.41</v>
      </c>
    </row>
    <row r="91" ht="13.5" thickTop="1"/>
    <row r="92" spans="16:23" ht="12.75">
      <c r="P92" t="s">
        <v>253</v>
      </c>
      <c r="Q92" t="s">
        <v>254</v>
      </c>
      <c r="R92" t="s">
        <v>255</v>
      </c>
      <c r="S92" t="s">
        <v>256</v>
      </c>
      <c r="T92" t="s">
        <v>257</v>
      </c>
      <c r="U92" t="s">
        <v>258</v>
      </c>
      <c r="V92" t="s">
        <v>419</v>
      </c>
      <c r="W92" t="s">
        <v>260</v>
      </c>
    </row>
    <row r="93" spans="15:23" ht="12.75">
      <c r="O93" s="171"/>
      <c r="P93" s="171">
        <v>49372.15</v>
      </c>
      <c r="Q93" s="171">
        <v>41859.66</v>
      </c>
      <c r="R93" s="171">
        <v>31701.84</v>
      </c>
      <c r="S93" s="171">
        <v>29363.78</v>
      </c>
      <c r="T93" s="171">
        <v>15173.1</v>
      </c>
      <c r="U93" s="171">
        <v>27713.17</v>
      </c>
      <c r="V93" s="171">
        <v>33466.51</v>
      </c>
      <c r="W93" s="171" t="s">
        <v>259</v>
      </c>
    </row>
    <row r="94" spans="2:23" ht="12.75">
      <c r="B94"/>
      <c r="P94" s="161"/>
      <c r="Q94" s="161"/>
      <c r="R94" s="161"/>
      <c r="S94" s="161"/>
      <c r="T94" s="161"/>
      <c r="U94" s="161"/>
      <c r="V94" s="161">
        <v>37071</v>
      </c>
      <c r="W94" s="161" t="s">
        <v>252</v>
      </c>
    </row>
  </sheetData>
  <sheetProtection/>
  <printOptions/>
  <pageMargins left="0" right="0" top="0" bottom="0.1968503937007874" header="0.5118110236220472" footer="0.11811023622047245"/>
  <pageSetup horizontalDpi="600" verticalDpi="600" orientation="landscape" paperSize="8" scale="70" r:id="rId1"/>
  <headerFooter alignWithMargins="0">
    <oddFooter>&amp;L&amp;A&amp;F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1.375" style="2" customWidth="1"/>
    <col min="2" max="2" width="18.75390625" style="2" customWidth="1"/>
    <col min="3" max="6" width="13.75390625" style="2" customWidth="1"/>
    <col min="7" max="16384" width="9.125" style="2" customWidth="1"/>
  </cols>
  <sheetData>
    <row r="1" ht="12.75">
      <c r="A1" s="60" t="s">
        <v>282</v>
      </c>
    </row>
    <row r="2" spans="1:6" ht="12.75">
      <c r="A2" s="3" t="s">
        <v>0</v>
      </c>
      <c r="B2" s="4"/>
      <c r="C2" s="307" t="s">
        <v>13</v>
      </c>
      <c r="D2" s="308"/>
      <c r="E2" s="309"/>
      <c r="F2" s="5" t="s">
        <v>15</v>
      </c>
    </row>
    <row r="3" spans="1:6" ht="12.75">
      <c r="A3" s="6"/>
      <c r="B3" s="7"/>
      <c r="C3" s="310"/>
      <c r="D3" s="311"/>
      <c r="E3" s="312"/>
      <c r="F3" s="8" t="s">
        <v>16</v>
      </c>
    </row>
    <row r="4" spans="1:6" ht="12.75">
      <c r="A4" s="6"/>
      <c r="B4" s="7"/>
      <c r="C4" s="313" t="s">
        <v>2</v>
      </c>
      <c r="D4" s="314"/>
      <c r="E4" s="10" t="s">
        <v>1</v>
      </c>
      <c r="F4" s="11"/>
    </row>
    <row r="5" spans="1:6" ht="12.75">
      <c r="A5" s="6"/>
      <c r="B5" s="7"/>
      <c r="C5" s="10"/>
      <c r="D5" s="10" t="s">
        <v>28</v>
      </c>
      <c r="E5" s="10"/>
      <c r="F5" s="11"/>
    </row>
    <row r="6" spans="1:6" ht="12.75">
      <c r="A6" s="12"/>
      <c r="B6" s="7"/>
      <c r="C6" s="10"/>
      <c r="D6" s="10" t="s">
        <v>27</v>
      </c>
      <c r="E6" s="10"/>
      <c r="F6" s="13"/>
    </row>
    <row r="7" spans="1:6" ht="13.5" thickBot="1">
      <c r="A7" s="14"/>
      <c r="B7" s="15"/>
      <c r="C7" s="16" t="s">
        <v>4</v>
      </c>
      <c r="D7" s="16" t="s">
        <v>4</v>
      </c>
      <c r="E7" s="16" t="s">
        <v>4</v>
      </c>
      <c r="F7" s="17" t="s">
        <v>4</v>
      </c>
    </row>
    <row r="8" spans="1:6" ht="13.5" thickTop="1">
      <c r="A8" s="18" t="s">
        <v>6</v>
      </c>
      <c r="B8" s="19"/>
      <c r="C8" s="20" t="s">
        <v>7</v>
      </c>
      <c r="D8" s="21" t="s">
        <v>30</v>
      </c>
      <c r="E8" s="22" t="s">
        <v>8</v>
      </c>
      <c r="F8" s="23" t="s">
        <v>9</v>
      </c>
    </row>
    <row r="9" spans="1:6" ht="13.5" thickBot="1">
      <c r="A9" s="24" t="s">
        <v>10</v>
      </c>
      <c r="B9" s="25"/>
      <c r="C9" s="26"/>
      <c r="D9" s="27" t="s">
        <v>29</v>
      </c>
      <c r="E9" s="28"/>
      <c r="F9" s="29" t="s">
        <v>17</v>
      </c>
    </row>
    <row r="10" spans="1:6" ht="13.5" thickTop="1">
      <c r="A10" s="30">
        <v>25000</v>
      </c>
      <c r="B10" s="44" t="s">
        <v>171</v>
      </c>
      <c r="C10" s="173">
        <f>B34/1000</f>
        <v>66506.55325</v>
      </c>
      <c r="D10" s="174">
        <f>B28/1000</f>
        <v>60140.43476</v>
      </c>
      <c r="E10" s="173">
        <f>B35/1000</f>
        <v>66164.67537</v>
      </c>
      <c r="F10" s="175">
        <f>C10-E10</f>
        <v>341.87788</v>
      </c>
    </row>
    <row r="11" spans="1:6" ht="12.75">
      <c r="A11" s="30">
        <v>25000</v>
      </c>
      <c r="B11" s="45" t="s">
        <v>172</v>
      </c>
      <c r="C11" s="173">
        <f>B32/1000</f>
        <v>2161.048</v>
      </c>
      <c r="D11" s="174">
        <v>0</v>
      </c>
      <c r="E11" s="173">
        <f>B32/1000</f>
        <v>2161.048</v>
      </c>
      <c r="F11" s="175">
        <f>C11-E11</f>
        <v>0</v>
      </c>
    </row>
    <row r="12" spans="1:6" ht="12.75">
      <c r="A12" s="90">
        <v>25000</v>
      </c>
      <c r="B12" s="176" t="s">
        <v>283</v>
      </c>
      <c r="C12" s="177">
        <f>B33/1000</f>
        <v>4192.88649</v>
      </c>
      <c r="D12" s="178"/>
      <c r="E12" s="178">
        <f>C12</f>
        <v>4192.88649</v>
      </c>
      <c r="F12" s="175">
        <f>C12-E12</f>
        <v>0</v>
      </c>
    </row>
    <row r="13" spans="1:6" ht="12.75">
      <c r="A13" s="61"/>
      <c r="B13" s="62"/>
      <c r="C13" s="63"/>
      <c r="D13" s="64"/>
      <c r="E13" s="65"/>
      <c r="F13" s="66"/>
    </row>
    <row r="14" spans="1:6" ht="12.75">
      <c r="A14" s="61"/>
      <c r="B14" s="62"/>
      <c r="C14" s="63"/>
      <c r="D14" s="64"/>
      <c r="E14" s="65"/>
      <c r="F14" s="66"/>
    </row>
    <row r="15" spans="1:6" ht="12.75">
      <c r="A15" s="61"/>
      <c r="B15" s="62"/>
      <c r="C15" s="63"/>
      <c r="D15" s="64"/>
      <c r="E15" s="65"/>
      <c r="F15" s="66"/>
    </row>
    <row r="16" spans="1:6" ht="12.75">
      <c r="A16" s="61" t="s">
        <v>70</v>
      </c>
      <c r="B16" s="62"/>
      <c r="C16" s="63"/>
      <c r="D16" s="64"/>
      <c r="E16" s="65"/>
      <c r="F16" s="66"/>
    </row>
    <row r="17" spans="2:4" ht="12.75">
      <c r="B17" s="79"/>
      <c r="C17" s="79"/>
      <c r="D17" s="79"/>
    </row>
    <row r="18" spans="2:3" ht="12.75">
      <c r="B18" s="60">
        <v>2014</v>
      </c>
      <c r="C18" s="2" t="s">
        <v>183</v>
      </c>
    </row>
    <row r="19" spans="1:3" ht="12.75">
      <c r="A19" s="2" t="s">
        <v>173</v>
      </c>
      <c r="B19" s="157">
        <v>68123000</v>
      </c>
      <c r="C19" s="159" t="s">
        <v>284</v>
      </c>
    </row>
    <row r="20" spans="2:3" ht="12.75">
      <c r="B20" s="158">
        <v>-4020900</v>
      </c>
      <c r="C20" s="143" t="s">
        <v>227</v>
      </c>
    </row>
    <row r="21" spans="2:3" ht="12.75">
      <c r="B21" s="158">
        <v>-1064000</v>
      </c>
      <c r="C21" s="143" t="s">
        <v>228</v>
      </c>
    </row>
    <row r="22" spans="2:3" ht="12.75">
      <c r="B22" s="158">
        <v>-488000</v>
      </c>
      <c r="C22" s="143" t="s">
        <v>229</v>
      </c>
    </row>
    <row r="23" spans="2:3" ht="12.75">
      <c r="B23" s="158">
        <v>-4235000</v>
      </c>
      <c r="C23" s="143" t="s">
        <v>230</v>
      </c>
    </row>
    <row r="24" spans="2:3" ht="12.75">
      <c r="B24" s="158">
        <v>110090</v>
      </c>
      <c r="C24" s="143" t="s">
        <v>231</v>
      </c>
    </row>
    <row r="25" spans="2:3" ht="12.75">
      <c r="B25" s="158">
        <v>32444.76</v>
      </c>
      <c r="C25" s="143" t="s">
        <v>285</v>
      </c>
    </row>
    <row r="26" spans="2:3" ht="12.75">
      <c r="B26" s="158">
        <v>292800</v>
      </c>
      <c r="C26" s="143" t="s">
        <v>232</v>
      </c>
    </row>
    <row r="27" spans="2:3" ht="12.75">
      <c r="B27" s="158">
        <v>1390000</v>
      </c>
      <c r="C27" s="143" t="s">
        <v>233</v>
      </c>
    </row>
    <row r="28" ht="12.75">
      <c r="B28" s="138">
        <f>SUM(B19:B27)</f>
        <v>60140434.76</v>
      </c>
    </row>
    <row r="29" ht="12.75">
      <c r="B29" s="138"/>
    </row>
    <row r="30" spans="1:4" ht="12.75">
      <c r="A30" s="2" t="s">
        <v>234</v>
      </c>
      <c r="B30" s="139">
        <v>12184</v>
      </c>
      <c r="C30" s="79" t="s">
        <v>235</v>
      </c>
      <c r="D30" s="79"/>
    </row>
    <row r="31" spans="2:4" ht="12.75">
      <c r="B31" s="138"/>
      <c r="C31" s="79"/>
      <c r="D31" s="79"/>
    </row>
    <row r="32" spans="1:4" ht="12.75">
      <c r="A32" s="2" t="s">
        <v>41</v>
      </c>
      <c r="B32" s="138">
        <v>2161048</v>
      </c>
      <c r="C32" s="79" t="s">
        <v>184</v>
      </c>
      <c r="D32" s="79"/>
    </row>
    <row r="33" spans="1:4" ht="12.75">
      <c r="A33" s="79" t="s">
        <v>286</v>
      </c>
      <c r="B33" s="138">
        <v>4192886.49</v>
      </c>
      <c r="C33" s="79" t="s">
        <v>287</v>
      </c>
      <c r="D33" s="79"/>
    </row>
    <row r="34" spans="2:4" ht="12.75">
      <c r="B34" s="172">
        <f>B32+B30+B28+B33</f>
        <v>66506553.25</v>
      </c>
      <c r="C34" s="2" t="s">
        <v>185</v>
      </c>
      <c r="D34" s="140"/>
    </row>
    <row r="35" spans="2:4" ht="12.75">
      <c r="B35" s="191">
        <v>66164675.37</v>
      </c>
      <c r="C35" s="2" t="s">
        <v>186</v>
      </c>
      <c r="D35" s="79"/>
    </row>
    <row r="36" spans="2:4" ht="12.75">
      <c r="B36" s="140"/>
      <c r="D36" s="79"/>
    </row>
    <row r="37" ht="12.75">
      <c r="B37" s="140"/>
    </row>
    <row r="38" ht="12.75">
      <c r="A38" s="2" t="s">
        <v>288</v>
      </c>
    </row>
    <row r="44" spans="1:3" ht="12.75">
      <c r="A44" s="46"/>
      <c r="C44" s="46"/>
    </row>
    <row r="45" ht="12.75">
      <c r="B45" s="46"/>
    </row>
  </sheetData>
  <sheetProtection/>
  <mergeCells count="2">
    <mergeCell ref="C2:E3"/>
    <mergeCell ref="C4:D4"/>
  </mergeCells>
  <printOptions/>
  <pageMargins left="0.7" right="0.7" top="0.75" bottom="0.75" header="0.3" footer="0.3"/>
  <pageSetup horizontalDpi="600" verticalDpi="600" orientation="portrait" paperSize="9" scale="90" r:id="rId1"/>
  <headerFooter alignWithMargins="0">
    <oddFooter>&amp;L&amp;F&amp;A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6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3.375" style="0" customWidth="1"/>
    <col min="2" max="2" width="9.75390625" style="0" customWidth="1"/>
    <col min="3" max="3" width="7.125" style="0" customWidth="1"/>
    <col min="4" max="4" width="7.25390625" style="0" customWidth="1"/>
    <col min="5" max="5" width="7.125" style="0" customWidth="1"/>
    <col min="6" max="6" width="6.375" style="50" customWidth="1"/>
    <col min="7" max="7" width="6.625" style="0" customWidth="1"/>
    <col min="8" max="9" width="7.25390625" style="0" customWidth="1"/>
    <col min="10" max="11" width="7.625" style="0" customWidth="1"/>
    <col min="12" max="12" width="6.00390625" style="0" customWidth="1"/>
    <col min="13" max="13" width="7.625" style="0" customWidth="1"/>
    <col min="14" max="14" width="6.625" style="0" customWidth="1"/>
    <col min="15" max="15" width="7.875" style="0" customWidth="1"/>
  </cols>
  <sheetData>
    <row r="1" ht="13.5" thickBot="1">
      <c r="A1" s="1" t="s">
        <v>290</v>
      </c>
    </row>
    <row r="2" spans="1:14" ht="13.5" thickBot="1">
      <c r="A2" s="51"/>
      <c r="B2" s="53"/>
      <c r="C2" s="162" t="s">
        <v>51</v>
      </c>
      <c r="D2" s="52"/>
      <c r="E2" s="52"/>
      <c r="F2" s="163" t="s">
        <v>52</v>
      </c>
      <c r="G2" s="120"/>
      <c r="H2" s="120"/>
      <c r="I2" s="120"/>
      <c r="J2" s="120"/>
      <c r="K2" s="186"/>
      <c r="L2" s="186"/>
      <c r="M2" s="187"/>
      <c r="N2" s="69"/>
    </row>
    <row r="3" spans="1:14" ht="12.75">
      <c r="A3" s="55" t="s">
        <v>54</v>
      </c>
      <c r="B3" s="55" t="s">
        <v>55</v>
      </c>
      <c r="C3" s="56" t="s">
        <v>210</v>
      </c>
      <c r="D3" s="56" t="s">
        <v>174</v>
      </c>
      <c r="E3" s="51" t="s">
        <v>3</v>
      </c>
      <c r="F3" s="121" t="s">
        <v>56</v>
      </c>
      <c r="G3" s="56" t="s">
        <v>57</v>
      </c>
      <c r="H3" s="56" t="s">
        <v>180</v>
      </c>
      <c r="I3" s="56" t="s">
        <v>209</v>
      </c>
      <c r="J3" s="179" t="s">
        <v>58</v>
      </c>
      <c r="K3" s="188" t="s">
        <v>3</v>
      </c>
      <c r="L3" s="189" t="s">
        <v>59</v>
      </c>
      <c r="M3" s="190" t="s">
        <v>3</v>
      </c>
      <c r="N3" s="69"/>
    </row>
    <row r="4" spans="1:14" ht="12.75">
      <c r="A4" s="55">
        <v>25100</v>
      </c>
      <c r="B4" s="55" t="s">
        <v>53</v>
      </c>
      <c r="C4" s="58">
        <v>4598.7</v>
      </c>
      <c r="D4" s="55">
        <v>0</v>
      </c>
      <c r="E4" s="117">
        <f>SUM(C4:D4)</f>
        <v>4598.7</v>
      </c>
      <c r="F4" s="122">
        <v>90.392</v>
      </c>
      <c r="G4" s="70">
        <v>17.605</v>
      </c>
      <c r="H4" s="70">
        <v>48.665</v>
      </c>
      <c r="I4" s="70">
        <v>11.539</v>
      </c>
      <c r="J4" s="180">
        <f>3378.933+1084.314</f>
        <v>4463.247</v>
      </c>
      <c r="K4" s="122">
        <f>SUM(F4:J4)</f>
        <v>4631.448</v>
      </c>
      <c r="L4" s="70">
        <v>92.048</v>
      </c>
      <c r="M4" s="123">
        <f>K4+L4</f>
        <v>4723.496</v>
      </c>
      <c r="N4" s="71"/>
    </row>
    <row r="5" spans="1:14" ht="12.75">
      <c r="A5" s="55">
        <v>25100</v>
      </c>
      <c r="B5" s="55" t="s">
        <v>181</v>
      </c>
      <c r="C5" s="58">
        <v>1720.5</v>
      </c>
      <c r="D5" s="58">
        <v>312.7</v>
      </c>
      <c r="E5" s="117">
        <f>SUM(C5:D5)</f>
        <v>2033.2</v>
      </c>
      <c r="F5" s="124">
        <v>0.192</v>
      </c>
      <c r="G5" s="56">
        <v>0</v>
      </c>
      <c r="H5" s="57">
        <v>28.958</v>
      </c>
      <c r="I5" s="57">
        <v>1.236</v>
      </c>
      <c r="J5" s="184">
        <f>1503.185+511.03</f>
        <v>2014.215</v>
      </c>
      <c r="K5" s="124">
        <f>SUM(F5:J5)</f>
        <v>2044.6009999999999</v>
      </c>
      <c r="L5" s="56">
        <v>0</v>
      </c>
      <c r="M5" s="123">
        <f aca="true" t="shared" si="0" ref="M5:M17">K5+L5</f>
        <v>2044.6009999999999</v>
      </c>
      <c r="N5" s="71"/>
    </row>
    <row r="6" spans="1:18" ht="12.75">
      <c r="A6" s="54" t="s">
        <v>60</v>
      </c>
      <c r="B6" s="54" t="s">
        <v>3</v>
      </c>
      <c r="C6" s="72">
        <f>SUM(C4:C5)</f>
        <v>6319.2</v>
      </c>
      <c r="D6" s="72">
        <f>SUM(D4:D5)</f>
        <v>312.7</v>
      </c>
      <c r="E6" s="118">
        <f>SUM(E4:E5)</f>
        <v>6631.9</v>
      </c>
      <c r="F6" s="125">
        <f aca="true" t="shared" si="1" ref="F6:M6">SUM(F4:F5)</f>
        <v>90.58399999999999</v>
      </c>
      <c r="G6" s="72">
        <f t="shared" si="1"/>
        <v>17.605</v>
      </c>
      <c r="H6" s="72">
        <f t="shared" si="1"/>
        <v>77.62299999999999</v>
      </c>
      <c r="I6" s="72">
        <f t="shared" si="1"/>
        <v>12.775</v>
      </c>
      <c r="J6" s="118">
        <f t="shared" si="1"/>
        <v>6477.462</v>
      </c>
      <c r="K6" s="125">
        <f t="shared" si="1"/>
        <v>6676.049</v>
      </c>
      <c r="L6" s="72">
        <f t="shared" si="1"/>
        <v>92.048</v>
      </c>
      <c r="M6" s="126">
        <f t="shared" si="1"/>
        <v>6768.097</v>
      </c>
      <c r="N6" s="69"/>
      <c r="P6" s="48"/>
      <c r="Q6" s="48"/>
      <c r="R6" s="48"/>
    </row>
    <row r="7" spans="1:23" s="160" customFormat="1" ht="12.75">
      <c r="A7" s="55">
        <v>25150</v>
      </c>
      <c r="B7" s="55" t="s">
        <v>53</v>
      </c>
      <c r="C7" s="58">
        <v>3086.4</v>
      </c>
      <c r="D7" s="55">
        <v>0</v>
      </c>
      <c r="E7" s="117">
        <f>SUM(C7:D7)</f>
        <v>3086.4</v>
      </c>
      <c r="F7" s="122">
        <v>11.981</v>
      </c>
      <c r="G7" s="70">
        <v>3.448</v>
      </c>
      <c r="H7" s="70">
        <v>39.969</v>
      </c>
      <c r="I7" s="70">
        <v>4.84</v>
      </c>
      <c r="J7" s="180">
        <f>1881.495+617.775</f>
        <v>2499.27</v>
      </c>
      <c r="K7" s="122">
        <f>SUM(F7:J7)</f>
        <v>2559.508</v>
      </c>
      <c r="L7" s="70">
        <v>52.844</v>
      </c>
      <c r="M7" s="123">
        <f t="shared" si="0"/>
        <v>2612.352</v>
      </c>
      <c r="N7" s="69"/>
      <c r="O7"/>
      <c r="P7" s="48"/>
      <c r="Q7" s="48"/>
      <c r="R7" s="48"/>
      <c r="S7"/>
      <c r="T7"/>
      <c r="U7"/>
      <c r="V7"/>
      <c r="W7"/>
    </row>
    <row r="8" spans="1:23" s="160" customFormat="1" ht="12.75">
      <c r="A8" s="55">
        <v>25150</v>
      </c>
      <c r="B8" s="55" t="s">
        <v>181</v>
      </c>
      <c r="C8" s="58">
        <v>200</v>
      </c>
      <c r="D8" s="58">
        <v>427.6</v>
      </c>
      <c r="E8" s="117">
        <f>SUM(C8:D8)</f>
        <v>627.6</v>
      </c>
      <c r="F8" s="124">
        <v>0</v>
      </c>
      <c r="G8" s="56">
        <v>0</v>
      </c>
      <c r="H8" s="57">
        <v>15.804</v>
      </c>
      <c r="I8" s="57">
        <v>0.5</v>
      </c>
      <c r="J8" s="184">
        <f>604.819+194.655</f>
        <v>799.4739999999999</v>
      </c>
      <c r="K8" s="124">
        <f>SUM(F8:J8)</f>
        <v>815.7779999999999</v>
      </c>
      <c r="L8" s="56">
        <v>0</v>
      </c>
      <c r="M8" s="123">
        <f t="shared" si="0"/>
        <v>815.7779999999999</v>
      </c>
      <c r="N8" s="73"/>
      <c r="O8" s="48"/>
      <c r="P8" s="48"/>
      <c r="Q8" s="48"/>
      <c r="R8" s="48"/>
      <c r="S8"/>
      <c r="T8"/>
      <c r="U8"/>
      <c r="V8"/>
      <c r="W8"/>
    </row>
    <row r="9" spans="1:18" ht="12.75">
      <c r="A9" s="54" t="s">
        <v>236</v>
      </c>
      <c r="B9" s="54" t="s">
        <v>3</v>
      </c>
      <c r="C9" s="72">
        <f>SUM(C7:C8)</f>
        <v>3286.4</v>
      </c>
      <c r="D9" s="72">
        <f>SUM(D7:D8)</f>
        <v>427.6</v>
      </c>
      <c r="E9" s="118">
        <f>SUM(E7:E8)</f>
        <v>3714</v>
      </c>
      <c r="F9" s="125">
        <f aca="true" t="shared" si="2" ref="F9:M9">SUM(F7:F8)</f>
        <v>11.981</v>
      </c>
      <c r="G9" s="72">
        <f t="shared" si="2"/>
        <v>3.448</v>
      </c>
      <c r="H9" s="72">
        <f t="shared" si="2"/>
        <v>55.773</v>
      </c>
      <c r="I9" s="72">
        <f t="shared" si="2"/>
        <v>5.34</v>
      </c>
      <c r="J9" s="118">
        <f t="shared" si="2"/>
        <v>3298.7439999999997</v>
      </c>
      <c r="K9" s="125">
        <f t="shared" si="2"/>
        <v>3375.2859999999996</v>
      </c>
      <c r="L9" s="72">
        <f t="shared" si="2"/>
        <v>52.844</v>
      </c>
      <c r="M9" s="126">
        <f t="shared" si="2"/>
        <v>3428.1299999999997</v>
      </c>
      <c r="N9" s="69"/>
      <c r="P9" s="48"/>
      <c r="Q9" s="48"/>
      <c r="R9" s="48"/>
    </row>
    <row r="10" spans="1:18" ht="12.75">
      <c r="A10" s="55">
        <v>25220</v>
      </c>
      <c r="B10" s="55" t="s">
        <v>53</v>
      </c>
      <c r="C10" s="58">
        <v>2923.6</v>
      </c>
      <c r="D10" s="58">
        <v>0</v>
      </c>
      <c r="E10" s="117">
        <f>SUM(C10:D10)</f>
        <v>2923.6</v>
      </c>
      <c r="F10" s="124">
        <v>83.121</v>
      </c>
      <c r="G10" s="57">
        <v>1.832</v>
      </c>
      <c r="H10" s="57">
        <f>19.481+4.269</f>
        <v>23.75</v>
      </c>
      <c r="I10" s="57">
        <v>12.904</v>
      </c>
      <c r="J10" s="119">
        <f>1918.893+620.629</f>
        <v>2539.522</v>
      </c>
      <c r="K10" s="124">
        <f>SUM(F10:J10)</f>
        <v>2661.129</v>
      </c>
      <c r="L10" s="57">
        <v>51.832</v>
      </c>
      <c r="M10" s="123">
        <f t="shared" si="0"/>
        <v>2712.961</v>
      </c>
      <c r="N10" s="69"/>
      <c r="P10" s="48"/>
      <c r="Q10" s="48"/>
      <c r="R10" s="48"/>
    </row>
    <row r="11" spans="1:19" ht="12.75">
      <c r="A11" s="55">
        <v>25220</v>
      </c>
      <c r="B11" s="55" t="s">
        <v>181</v>
      </c>
      <c r="C11" s="58">
        <v>515.5</v>
      </c>
      <c r="D11" s="58">
        <v>232.9</v>
      </c>
      <c r="E11" s="117">
        <f>SUM(C11:D11)</f>
        <v>748.4</v>
      </c>
      <c r="F11" s="122">
        <v>0.064</v>
      </c>
      <c r="G11" s="70">
        <f>'[2]Vysledovka HV1100-1650 25'!$J$205</f>
        <v>0.202</v>
      </c>
      <c r="H11" s="70">
        <v>11.395</v>
      </c>
      <c r="I11" s="70">
        <v>7.411</v>
      </c>
      <c r="J11" s="180">
        <f>729.791+248.129</f>
        <v>977.9200000000001</v>
      </c>
      <c r="K11" s="124">
        <f>SUM(F11:J11)</f>
        <v>996.9920000000001</v>
      </c>
      <c r="L11" s="70">
        <v>0</v>
      </c>
      <c r="M11" s="123">
        <f t="shared" si="0"/>
        <v>996.9920000000001</v>
      </c>
      <c r="N11" s="73"/>
      <c r="O11" s="48"/>
      <c r="P11" s="48"/>
      <c r="Q11" s="48"/>
      <c r="R11" s="48"/>
      <c r="S11" s="48"/>
    </row>
    <row r="12" spans="1:18" ht="12.75">
      <c r="A12" s="54" t="s">
        <v>61</v>
      </c>
      <c r="B12" s="54" t="s">
        <v>3</v>
      </c>
      <c r="C12" s="72">
        <f aca="true" t="shared" si="3" ref="C12:M12">SUM(C10:C11)</f>
        <v>3439.1</v>
      </c>
      <c r="D12" s="72">
        <f t="shared" si="3"/>
        <v>232.9</v>
      </c>
      <c r="E12" s="118">
        <f t="shared" si="3"/>
        <v>3672</v>
      </c>
      <c r="F12" s="125">
        <f t="shared" si="3"/>
        <v>83.18499999999999</v>
      </c>
      <c r="G12" s="72">
        <f t="shared" si="3"/>
        <v>2.0340000000000003</v>
      </c>
      <c r="H12" s="72">
        <f t="shared" si="3"/>
        <v>35.144999999999996</v>
      </c>
      <c r="I12" s="72">
        <f t="shared" si="3"/>
        <v>20.314999999999998</v>
      </c>
      <c r="J12" s="118">
        <f t="shared" si="3"/>
        <v>3517.442</v>
      </c>
      <c r="K12" s="125">
        <f t="shared" si="3"/>
        <v>3658.121</v>
      </c>
      <c r="L12" s="72">
        <f t="shared" si="3"/>
        <v>51.832</v>
      </c>
      <c r="M12" s="126">
        <f t="shared" si="3"/>
        <v>3709.953</v>
      </c>
      <c r="N12" s="71"/>
      <c r="P12" s="48"/>
      <c r="Q12" s="48"/>
      <c r="R12" s="48"/>
    </row>
    <row r="13" spans="1:18" ht="12.75">
      <c r="A13" s="55">
        <v>25230</v>
      </c>
      <c r="B13" s="55" t="s">
        <v>53</v>
      </c>
      <c r="C13" s="58">
        <v>3569.6</v>
      </c>
      <c r="D13" s="58">
        <v>0</v>
      </c>
      <c r="E13" s="117">
        <f>SUM(C13:D13)</f>
        <v>3569.6</v>
      </c>
      <c r="F13" s="124">
        <v>89.858</v>
      </c>
      <c r="G13" s="57">
        <v>4.445</v>
      </c>
      <c r="H13" s="57">
        <v>9.572</v>
      </c>
      <c r="I13" s="57">
        <v>56.518</v>
      </c>
      <c r="J13" s="119">
        <f>2643.463+841.212</f>
        <v>3484.675</v>
      </c>
      <c r="K13" s="124">
        <f>SUM(F13:J13)</f>
        <v>3645.068</v>
      </c>
      <c r="L13" s="57">
        <v>50.556</v>
      </c>
      <c r="M13" s="123">
        <f t="shared" si="0"/>
        <v>3695.6240000000003</v>
      </c>
      <c r="N13" s="71"/>
      <c r="P13" s="48"/>
      <c r="Q13" s="48"/>
      <c r="R13" s="48"/>
    </row>
    <row r="14" spans="1:19" ht="12.75">
      <c r="A14" s="55">
        <v>25230</v>
      </c>
      <c r="B14" s="55" t="s">
        <v>181</v>
      </c>
      <c r="C14" s="58">
        <v>816.2</v>
      </c>
      <c r="D14" s="58">
        <v>843.2</v>
      </c>
      <c r="E14" s="117">
        <f>SUM(C14:D14)</f>
        <v>1659.4</v>
      </c>
      <c r="F14" s="122">
        <v>0</v>
      </c>
      <c r="G14" s="70">
        <v>0</v>
      </c>
      <c r="H14" s="70">
        <v>23.389</v>
      </c>
      <c r="I14" s="70">
        <v>4.284</v>
      </c>
      <c r="J14" s="180">
        <f>1018.04+340.194</f>
        <v>1358.234</v>
      </c>
      <c r="K14" s="124">
        <f>SUM(F14:J14)</f>
        <v>1385.907</v>
      </c>
      <c r="L14" s="70">
        <v>0</v>
      </c>
      <c r="M14" s="123">
        <f t="shared" si="0"/>
        <v>1385.907</v>
      </c>
      <c r="N14" s="73"/>
      <c r="O14" s="48"/>
      <c r="P14" s="48"/>
      <c r="Q14" s="48"/>
      <c r="R14" s="48"/>
      <c r="S14" s="48"/>
    </row>
    <row r="15" spans="1:18" ht="12.75">
      <c r="A15" s="54" t="s">
        <v>62</v>
      </c>
      <c r="B15" s="54" t="s">
        <v>3</v>
      </c>
      <c r="C15" s="72">
        <f aca="true" t="shared" si="4" ref="C15:M15">SUM(C13:C14)</f>
        <v>4385.8</v>
      </c>
      <c r="D15" s="72">
        <f t="shared" si="4"/>
        <v>843.2</v>
      </c>
      <c r="E15" s="118">
        <f t="shared" si="4"/>
        <v>5229</v>
      </c>
      <c r="F15" s="125">
        <f t="shared" si="4"/>
        <v>89.858</v>
      </c>
      <c r="G15" s="72">
        <f t="shared" si="4"/>
        <v>4.445</v>
      </c>
      <c r="H15" s="72">
        <f t="shared" si="4"/>
        <v>32.961</v>
      </c>
      <c r="I15" s="72">
        <f t="shared" si="4"/>
        <v>60.802</v>
      </c>
      <c r="J15" s="118">
        <f t="shared" si="4"/>
        <v>4842.909</v>
      </c>
      <c r="K15" s="125">
        <f t="shared" si="4"/>
        <v>5030.975</v>
      </c>
      <c r="L15" s="72">
        <f t="shared" si="4"/>
        <v>50.556</v>
      </c>
      <c r="M15" s="126">
        <f t="shared" si="4"/>
        <v>5081.531</v>
      </c>
      <c r="N15" s="71"/>
      <c r="P15" s="48"/>
      <c r="Q15" s="48"/>
      <c r="R15" s="48"/>
    </row>
    <row r="16" spans="1:18" ht="12.75">
      <c r="A16" s="55">
        <v>25300</v>
      </c>
      <c r="B16" s="55" t="s">
        <v>53</v>
      </c>
      <c r="C16" s="58">
        <v>3092.1</v>
      </c>
      <c r="D16" s="58">
        <v>0</v>
      </c>
      <c r="E16" s="117">
        <f>SUM(C16:D16)</f>
        <v>3092.1</v>
      </c>
      <c r="F16" s="122">
        <v>156.849</v>
      </c>
      <c r="G16" s="70">
        <v>20.29</v>
      </c>
      <c r="H16" s="70">
        <v>20.597</v>
      </c>
      <c r="I16" s="70">
        <v>33.811</v>
      </c>
      <c r="J16" s="180">
        <f>2187.299+714.767</f>
        <v>2902.066</v>
      </c>
      <c r="K16" s="122">
        <f>SUM(F16:J16)</f>
        <v>3133.613</v>
      </c>
      <c r="L16" s="70">
        <v>59.4</v>
      </c>
      <c r="M16" s="123">
        <f t="shared" si="0"/>
        <v>3193.013</v>
      </c>
      <c r="N16" s="71"/>
      <c r="P16" s="48"/>
      <c r="Q16" s="48"/>
      <c r="R16" s="48"/>
    </row>
    <row r="17" spans="1:19" ht="12.75">
      <c r="A17" s="55">
        <v>25300</v>
      </c>
      <c r="B17" s="55" t="s">
        <v>181</v>
      </c>
      <c r="C17" s="58">
        <v>1420.5</v>
      </c>
      <c r="D17" s="58">
        <v>10.9</v>
      </c>
      <c r="E17" s="117">
        <f>SUM(C17:D17)</f>
        <v>1431.4</v>
      </c>
      <c r="F17" s="122">
        <v>0.213</v>
      </c>
      <c r="G17" s="70">
        <v>0</v>
      </c>
      <c r="H17" s="70">
        <v>11.191</v>
      </c>
      <c r="I17" s="70">
        <v>1.097</v>
      </c>
      <c r="J17" s="180">
        <f>723.915+246.132</f>
        <v>970.047</v>
      </c>
      <c r="K17" s="122">
        <f>SUM(F17:J17)</f>
        <v>982.548</v>
      </c>
      <c r="L17" s="70">
        <v>0</v>
      </c>
      <c r="M17" s="123">
        <f t="shared" si="0"/>
        <v>982.548</v>
      </c>
      <c r="N17" s="73"/>
      <c r="O17" s="48"/>
      <c r="P17" s="48"/>
      <c r="Q17" s="48"/>
      <c r="R17" s="48"/>
      <c r="S17" s="48"/>
    </row>
    <row r="18" spans="1:18" ht="12.75">
      <c r="A18" s="54" t="s">
        <v>170</v>
      </c>
      <c r="B18" s="54" t="s">
        <v>3</v>
      </c>
      <c r="C18" s="72">
        <f>SUM(C16:C17)</f>
        <v>4512.6</v>
      </c>
      <c r="D18" s="72">
        <f>SUM(D16:D17)</f>
        <v>10.9</v>
      </c>
      <c r="E18" s="118">
        <f>SUM(E16:E17)</f>
        <v>4523.5</v>
      </c>
      <c r="F18" s="125">
        <f>SUM(F16:F17)</f>
        <v>157.06199999999998</v>
      </c>
      <c r="G18" s="72">
        <f aca="true" t="shared" si="5" ref="G18:M18">SUM(G16:G17)</f>
        <v>20.29</v>
      </c>
      <c r="H18" s="72">
        <f t="shared" si="5"/>
        <v>31.788000000000004</v>
      </c>
      <c r="I18" s="72">
        <f t="shared" si="5"/>
        <v>34.908</v>
      </c>
      <c r="J18" s="118">
        <f t="shared" si="5"/>
        <v>3872.113</v>
      </c>
      <c r="K18" s="125">
        <f t="shared" si="5"/>
        <v>4116.161</v>
      </c>
      <c r="L18" s="72">
        <f t="shared" si="5"/>
        <v>59.4</v>
      </c>
      <c r="M18" s="126">
        <f t="shared" si="5"/>
        <v>4175.561</v>
      </c>
      <c r="N18" s="71"/>
      <c r="P18" s="48"/>
      <c r="Q18" s="48"/>
      <c r="R18" s="48"/>
    </row>
    <row r="19" spans="1:18" ht="12.75">
      <c r="A19" s="55">
        <v>25350</v>
      </c>
      <c r="B19" s="55" t="s">
        <v>53</v>
      </c>
      <c r="C19" s="58">
        <v>2287</v>
      </c>
      <c r="D19" s="58">
        <v>0</v>
      </c>
      <c r="E19" s="117">
        <f>SUM(C19:D19)</f>
        <v>2287</v>
      </c>
      <c r="F19" s="122">
        <v>2.362</v>
      </c>
      <c r="G19" s="70">
        <v>15.516</v>
      </c>
      <c r="H19" s="70">
        <v>1.617</v>
      </c>
      <c r="I19" s="70">
        <v>6.408</v>
      </c>
      <c r="J19" s="180">
        <f>2292.578+731.845</f>
        <v>3024.423</v>
      </c>
      <c r="K19" s="122">
        <f>SUM(F19:J19)</f>
        <v>3050.3259999999996</v>
      </c>
      <c r="L19" s="70">
        <v>59.928</v>
      </c>
      <c r="M19" s="123">
        <f>K19+L19</f>
        <v>3110.2539999999995</v>
      </c>
      <c r="N19" s="71"/>
      <c r="P19" s="48"/>
      <c r="Q19" s="48"/>
      <c r="R19" s="48"/>
    </row>
    <row r="20" spans="1:18" ht="12.75">
      <c r="A20" s="55">
        <v>25350</v>
      </c>
      <c r="B20" s="55" t="s">
        <v>181</v>
      </c>
      <c r="C20" s="58">
        <v>2282.4</v>
      </c>
      <c r="D20" s="58">
        <v>59.4</v>
      </c>
      <c r="E20" s="117">
        <f>SUM(C20:D20)</f>
        <v>2341.8</v>
      </c>
      <c r="F20" s="122">
        <v>31.854</v>
      </c>
      <c r="G20" s="74">
        <v>0</v>
      </c>
      <c r="H20" s="70">
        <v>17.904</v>
      </c>
      <c r="I20" s="70">
        <v>18.387</v>
      </c>
      <c r="J20" s="180">
        <f>1037.678+352.81</f>
        <v>1390.488</v>
      </c>
      <c r="K20" s="122">
        <f aca="true" t="shared" si="6" ref="K20:K56">SUM(F20:J20)</f>
        <v>1458.633</v>
      </c>
      <c r="L20" s="74">
        <v>0</v>
      </c>
      <c r="M20" s="123">
        <f aca="true" t="shared" si="7" ref="M20:M56">K20+L20</f>
        <v>1458.633</v>
      </c>
      <c r="N20" s="73"/>
      <c r="O20" s="48"/>
      <c r="P20" s="48"/>
      <c r="Q20" s="48"/>
      <c r="R20" s="48"/>
    </row>
    <row r="21" spans="1:18" ht="12.75">
      <c r="A21" s="54" t="s">
        <v>63</v>
      </c>
      <c r="B21" s="54" t="s">
        <v>3</v>
      </c>
      <c r="C21" s="72">
        <f>SUM(C19:C20)</f>
        <v>4569.4</v>
      </c>
      <c r="D21" s="72">
        <f>SUM(D19:D20)</f>
        <v>59.4</v>
      </c>
      <c r="E21" s="118">
        <f>SUM(E19:E20)</f>
        <v>4628.8</v>
      </c>
      <c r="F21" s="125">
        <f>SUM(F19:F20)</f>
        <v>34.216</v>
      </c>
      <c r="G21" s="72">
        <f aca="true" t="shared" si="8" ref="G21:M21">SUM(G19:G20)</f>
        <v>15.516</v>
      </c>
      <c r="H21" s="72">
        <f t="shared" si="8"/>
        <v>19.521</v>
      </c>
      <c r="I21" s="72">
        <f t="shared" si="8"/>
        <v>24.795</v>
      </c>
      <c r="J21" s="118">
        <f t="shared" si="8"/>
        <v>4414.911</v>
      </c>
      <c r="K21" s="125">
        <f t="shared" si="8"/>
        <v>4508.959</v>
      </c>
      <c r="L21" s="72">
        <f t="shared" si="8"/>
        <v>59.928</v>
      </c>
      <c r="M21" s="126">
        <f t="shared" si="8"/>
        <v>4568.887</v>
      </c>
      <c r="N21" s="71"/>
      <c r="P21" s="48"/>
      <c r="Q21" s="48"/>
      <c r="R21" s="48"/>
    </row>
    <row r="22" spans="1:18" ht="12.75">
      <c r="A22" s="55">
        <v>25351</v>
      </c>
      <c r="B22" s="55" t="s">
        <v>53</v>
      </c>
      <c r="C22" s="58">
        <v>2292</v>
      </c>
      <c r="D22" s="58">
        <v>0</v>
      </c>
      <c r="E22" s="117">
        <f>SUM(C22:D22)</f>
        <v>2292</v>
      </c>
      <c r="F22" s="122">
        <v>33.97</v>
      </c>
      <c r="G22" s="70">
        <v>2.43</v>
      </c>
      <c r="H22" s="70">
        <v>30.92</v>
      </c>
      <c r="I22" s="70">
        <v>3.876</v>
      </c>
      <c r="J22" s="180">
        <f>1611.753+525.596</f>
        <v>2137.349</v>
      </c>
      <c r="K22" s="122">
        <f t="shared" si="6"/>
        <v>2208.545</v>
      </c>
      <c r="L22" s="70">
        <v>54.868</v>
      </c>
      <c r="M22" s="123">
        <f t="shared" si="7"/>
        <v>2263.413</v>
      </c>
      <c r="N22" s="71"/>
      <c r="P22" s="48"/>
      <c r="Q22" s="48"/>
      <c r="R22" s="48"/>
    </row>
    <row r="23" spans="1:18" ht="12.75">
      <c r="A23" s="55">
        <v>25351</v>
      </c>
      <c r="B23" s="55" t="s">
        <v>181</v>
      </c>
      <c r="C23" s="58">
        <v>813.4</v>
      </c>
      <c r="D23" s="58">
        <v>56.9</v>
      </c>
      <c r="E23" s="117">
        <f>SUM(C23:D23)</f>
        <v>870.3</v>
      </c>
      <c r="F23" s="122">
        <v>0</v>
      </c>
      <c r="G23" s="70">
        <v>0</v>
      </c>
      <c r="H23" s="70">
        <v>7.423</v>
      </c>
      <c r="I23" s="70">
        <v>0</v>
      </c>
      <c r="J23" s="180">
        <f>755.442+256.848</f>
        <v>1012.29</v>
      </c>
      <c r="K23" s="122">
        <f t="shared" si="6"/>
        <v>1019.713</v>
      </c>
      <c r="L23" s="70">
        <v>0</v>
      </c>
      <c r="M23" s="123">
        <f t="shared" si="7"/>
        <v>1019.713</v>
      </c>
      <c r="N23" s="69"/>
      <c r="P23" s="48"/>
      <c r="Q23" s="48"/>
      <c r="R23" s="48"/>
    </row>
    <row r="24" spans="1:18" ht="12.75">
      <c r="A24" s="54" t="s">
        <v>64</v>
      </c>
      <c r="B24" s="54" t="s">
        <v>3</v>
      </c>
      <c r="C24" s="72">
        <f>SUM(C22:C23)</f>
        <v>3105.4</v>
      </c>
      <c r="D24" s="72">
        <f>SUM(D22:D23)</f>
        <v>56.9</v>
      </c>
      <c r="E24" s="118">
        <f>SUM(E22:E23)</f>
        <v>3162.3</v>
      </c>
      <c r="F24" s="125">
        <f>SUM(F22:F23)</f>
        <v>33.97</v>
      </c>
      <c r="G24" s="72">
        <f aca="true" t="shared" si="9" ref="G24:M24">SUM(G22:G23)</f>
        <v>2.43</v>
      </c>
      <c r="H24" s="72">
        <f t="shared" si="9"/>
        <v>38.343</v>
      </c>
      <c r="I24" s="72">
        <f t="shared" si="9"/>
        <v>3.876</v>
      </c>
      <c r="J24" s="118">
        <f t="shared" si="9"/>
        <v>3149.639</v>
      </c>
      <c r="K24" s="125">
        <f t="shared" si="9"/>
        <v>3228.258</v>
      </c>
      <c r="L24" s="72">
        <f t="shared" si="9"/>
        <v>54.868</v>
      </c>
      <c r="M24" s="126">
        <f t="shared" si="9"/>
        <v>3283.126</v>
      </c>
      <c r="N24" s="69"/>
      <c r="P24" s="48"/>
      <c r="Q24" s="48"/>
      <c r="R24" s="48"/>
    </row>
    <row r="25" spans="1:18" ht="12.75">
      <c r="A25" s="55">
        <v>25352</v>
      </c>
      <c r="B25" s="55" t="s">
        <v>181</v>
      </c>
      <c r="C25" s="58">
        <v>0</v>
      </c>
      <c r="D25" s="58">
        <v>0</v>
      </c>
      <c r="E25" s="117">
        <v>0</v>
      </c>
      <c r="F25" s="122">
        <v>0</v>
      </c>
      <c r="G25" s="70">
        <v>0</v>
      </c>
      <c r="H25" s="70">
        <v>0</v>
      </c>
      <c r="I25" s="70">
        <v>0</v>
      </c>
      <c r="J25" s="180">
        <v>0</v>
      </c>
      <c r="K25" s="122">
        <f t="shared" si="6"/>
        <v>0</v>
      </c>
      <c r="L25" s="70">
        <v>9.46</v>
      </c>
      <c r="M25" s="123">
        <f t="shared" si="7"/>
        <v>9.46</v>
      </c>
      <c r="N25" s="69"/>
      <c r="P25" s="48"/>
      <c r="Q25" s="48"/>
      <c r="R25" s="48"/>
    </row>
    <row r="26" spans="1:19" ht="12.75">
      <c r="A26" s="55">
        <v>25352</v>
      </c>
      <c r="B26" s="55" t="s">
        <v>187</v>
      </c>
      <c r="C26" s="58">
        <v>400</v>
      </c>
      <c r="D26" s="58">
        <v>0</v>
      </c>
      <c r="E26" s="117">
        <f>SUM(C26:D26)</f>
        <v>400</v>
      </c>
      <c r="F26" s="122">
        <v>0.09</v>
      </c>
      <c r="G26" s="70">
        <v>0</v>
      </c>
      <c r="H26" s="70">
        <v>2.823</v>
      </c>
      <c r="I26" s="70">
        <v>5.05</v>
      </c>
      <c r="J26" s="180">
        <f>292.84+99.565</f>
        <v>392.405</v>
      </c>
      <c r="K26" s="122">
        <f t="shared" si="6"/>
        <v>400.368</v>
      </c>
      <c r="L26" s="70">
        <v>0</v>
      </c>
      <c r="M26" s="123">
        <f t="shared" si="7"/>
        <v>400.368</v>
      </c>
      <c r="N26" s="73"/>
      <c r="O26" s="48"/>
      <c r="P26" s="48"/>
      <c r="Q26" s="48"/>
      <c r="R26" s="48"/>
      <c r="S26" s="48"/>
    </row>
    <row r="27" spans="1:18" ht="12.75">
      <c r="A27" s="54" t="s">
        <v>213</v>
      </c>
      <c r="B27" s="54" t="s">
        <v>3</v>
      </c>
      <c r="C27" s="72">
        <f aca="true" t="shared" si="10" ref="C27:M27">SUM(C25:C26)</f>
        <v>400</v>
      </c>
      <c r="D27" s="72">
        <f t="shared" si="10"/>
        <v>0</v>
      </c>
      <c r="E27" s="118">
        <f t="shared" si="10"/>
        <v>400</v>
      </c>
      <c r="F27" s="125">
        <f t="shared" si="10"/>
        <v>0.09</v>
      </c>
      <c r="G27" s="72">
        <f t="shared" si="10"/>
        <v>0</v>
      </c>
      <c r="H27" s="72">
        <f t="shared" si="10"/>
        <v>2.823</v>
      </c>
      <c r="I27" s="72">
        <f t="shared" si="10"/>
        <v>5.05</v>
      </c>
      <c r="J27" s="118">
        <f t="shared" si="10"/>
        <v>392.405</v>
      </c>
      <c r="K27" s="125">
        <f t="shared" si="10"/>
        <v>400.368</v>
      </c>
      <c r="L27" s="72">
        <f t="shared" si="10"/>
        <v>9.46</v>
      </c>
      <c r="M27" s="126">
        <f t="shared" si="10"/>
        <v>409.828</v>
      </c>
      <c r="N27" s="73"/>
      <c r="O27" s="48"/>
      <c r="P27" s="48"/>
      <c r="Q27" s="48"/>
      <c r="R27" s="48"/>
    </row>
    <row r="28" spans="1:18" ht="12.75">
      <c r="A28" s="58">
        <v>25400</v>
      </c>
      <c r="B28" s="58" t="s">
        <v>53</v>
      </c>
      <c r="C28" s="58">
        <v>5793.3</v>
      </c>
      <c r="D28" s="58">
        <v>0</v>
      </c>
      <c r="E28" s="117">
        <f>SUM(C28:D28)</f>
        <v>5793.3</v>
      </c>
      <c r="F28" s="124">
        <v>69.035</v>
      </c>
      <c r="G28" s="57">
        <v>47.365</v>
      </c>
      <c r="H28" s="57">
        <v>13.901</v>
      </c>
      <c r="I28" s="57">
        <v>29.136</v>
      </c>
      <c r="J28" s="119">
        <f>3817.742+1238.801</f>
        <v>5056.543</v>
      </c>
      <c r="K28" s="122">
        <f t="shared" si="6"/>
        <v>5215.98</v>
      </c>
      <c r="L28" s="57">
        <v>101.376</v>
      </c>
      <c r="M28" s="123">
        <f t="shared" si="7"/>
        <v>5317.356</v>
      </c>
      <c r="N28" s="73"/>
      <c r="O28" s="48"/>
      <c r="P28" s="48"/>
      <c r="Q28" s="48"/>
      <c r="R28" s="48"/>
    </row>
    <row r="29" spans="1:18" ht="12.75">
      <c r="A29" s="58">
        <v>25400</v>
      </c>
      <c r="B29" s="55" t="s">
        <v>181</v>
      </c>
      <c r="C29" s="58">
        <v>1775.9</v>
      </c>
      <c r="D29" s="58">
        <v>0</v>
      </c>
      <c r="E29" s="117">
        <f>SUM(C29:D29)</f>
        <v>1775.9</v>
      </c>
      <c r="F29" s="122">
        <v>0</v>
      </c>
      <c r="G29" s="70">
        <v>0</v>
      </c>
      <c r="H29" s="70">
        <v>19.869</v>
      </c>
      <c r="I29" s="70">
        <v>1.555</v>
      </c>
      <c r="J29" s="180">
        <f>1585.507+537.82</f>
        <v>2123.327</v>
      </c>
      <c r="K29" s="122">
        <f t="shared" si="6"/>
        <v>2144.751</v>
      </c>
      <c r="L29" s="70">
        <v>0</v>
      </c>
      <c r="M29" s="123">
        <f t="shared" si="7"/>
        <v>2144.751</v>
      </c>
      <c r="N29" s="71"/>
      <c r="P29" s="48"/>
      <c r="Q29" s="48"/>
      <c r="R29" s="48"/>
    </row>
    <row r="30" spans="1:18" ht="12.75">
      <c r="A30" s="72" t="s">
        <v>291</v>
      </c>
      <c r="B30" s="72" t="s">
        <v>3</v>
      </c>
      <c r="C30" s="72">
        <f aca="true" t="shared" si="11" ref="C30:M30">SUM(C28:C29)</f>
        <v>7569.200000000001</v>
      </c>
      <c r="D30" s="72">
        <f t="shared" si="11"/>
        <v>0</v>
      </c>
      <c r="E30" s="118">
        <f t="shared" si="11"/>
        <v>7569.200000000001</v>
      </c>
      <c r="F30" s="125">
        <f t="shared" si="11"/>
        <v>69.035</v>
      </c>
      <c r="G30" s="72">
        <f t="shared" si="11"/>
        <v>47.365</v>
      </c>
      <c r="H30" s="72">
        <f t="shared" si="11"/>
        <v>33.769999999999996</v>
      </c>
      <c r="I30" s="72">
        <f t="shared" si="11"/>
        <v>30.691</v>
      </c>
      <c r="J30" s="118">
        <f t="shared" si="11"/>
        <v>7179.87</v>
      </c>
      <c r="K30" s="125">
        <f t="shared" si="11"/>
        <v>7360.731</v>
      </c>
      <c r="L30" s="72">
        <f t="shared" si="11"/>
        <v>101.376</v>
      </c>
      <c r="M30" s="126">
        <f t="shared" si="11"/>
        <v>7462.107</v>
      </c>
      <c r="N30" s="71"/>
      <c r="P30" s="48"/>
      <c r="Q30" s="48"/>
      <c r="R30" s="48"/>
    </row>
    <row r="31" spans="1:19" ht="12.75">
      <c r="A31" s="57">
        <v>25410</v>
      </c>
      <c r="B31" s="55" t="s">
        <v>188</v>
      </c>
      <c r="C31" s="57">
        <v>0</v>
      </c>
      <c r="D31" s="57">
        <v>0</v>
      </c>
      <c r="E31" s="119">
        <f>SUM(C31:D31)</f>
        <v>0</v>
      </c>
      <c r="F31" s="124">
        <v>0</v>
      </c>
      <c r="G31" s="57">
        <v>0</v>
      </c>
      <c r="H31" s="57">
        <v>0</v>
      </c>
      <c r="I31" s="57">
        <v>0</v>
      </c>
      <c r="J31" s="119">
        <v>0</v>
      </c>
      <c r="K31" s="122">
        <f t="shared" si="6"/>
        <v>0</v>
      </c>
      <c r="L31" s="57">
        <v>9.856</v>
      </c>
      <c r="M31" s="123">
        <f t="shared" si="7"/>
        <v>9.856</v>
      </c>
      <c r="N31" s="73"/>
      <c r="O31" s="48"/>
      <c r="P31" s="48"/>
      <c r="Q31" s="48"/>
      <c r="R31" s="48"/>
      <c r="S31" s="48"/>
    </row>
    <row r="32" spans="1:18" ht="12.75">
      <c r="A32" s="72" t="s">
        <v>212</v>
      </c>
      <c r="B32" s="72"/>
      <c r="C32" s="72">
        <f>SUM(C31)</f>
        <v>0</v>
      </c>
      <c r="D32" s="72">
        <f aca="true" t="shared" si="12" ref="D32:M32">SUM(D31)</f>
        <v>0</v>
      </c>
      <c r="E32" s="118">
        <f t="shared" si="12"/>
        <v>0</v>
      </c>
      <c r="F32" s="125">
        <f t="shared" si="12"/>
        <v>0</v>
      </c>
      <c r="G32" s="72">
        <f t="shared" si="12"/>
        <v>0</v>
      </c>
      <c r="H32" s="72">
        <f t="shared" si="12"/>
        <v>0</v>
      </c>
      <c r="I32" s="72">
        <f t="shared" si="12"/>
        <v>0</v>
      </c>
      <c r="J32" s="118">
        <f t="shared" si="12"/>
        <v>0</v>
      </c>
      <c r="K32" s="125">
        <f t="shared" si="12"/>
        <v>0</v>
      </c>
      <c r="L32" s="72">
        <f t="shared" si="12"/>
        <v>9.856</v>
      </c>
      <c r="M32" s="126">
        <f t="shared" si="12"/>
        <v>9.856</v>
      </c>
      <c r="N32" s="71"/>
      <c r="P32" s="48"/>
      <c r="Q32" s="48"/>
      <c r="R32" s="48"/>
    </row>
    <row r="33" spans="1:18" ht="12.75">
      <c r="A33" s="55">
        <v>25510</v>
      </c>
      <c r="B33" s="55" t="s">
        <v>53</v>
      </c>
      <c r="C33" s="58">
        <v>2542.8</v>
      </c>
      <c r="D33" s="58">
        <v>0</v>
      </c>
      <c r="E33" s="117">
        <f>SUM(C33:D33)</f>
        <v>2542.8</v>
      </c>
      <c r="F33" s="122">
        <v>9.317</v>
      </c>
      <c r="G33" s="70">
        <v>3.382</v>
      </c>
      <c r="H33" s="70">
        <v>0.823</v>
      </c>
      <c r="I33" s="70">
        <v>0</v>
      </c>
      <c r="J33" s="180">
        <f>1679.388+555.707</f>
        <v>2235.095</v>
      </c>
      <c r="K33" s="122">
        <f t="shared" si="6"/>
        <v>2248.6169999999997</v>
      </c>
      <c r="L33" s="70">
        <v>65.164</v>
      </c>
      <c r="M33" s="123">
        <f t="shared" si="7"/>
        <v>2313.781</v>
      </c>
      <c r="N33" s="71"/>
      <c r="P33" s="48"/>
      <c r="Q33" s="48"/>
      <c r="R33" s="48"/>
    </row>
    <row r="34" spans="1:19" ht="12.75">
      <c r="A34" s="55">
        <v>25510</v>
      </c>
      <c r="B34" s="55" t="s">
        <v>181</v>
      </c>
      <c r="C34" s="58">
        <v>526.3</v>
      </c>
      <c r="D34" s="58">
        <v>86.2</v>
      </c>
      <c r="E34" s="117">
        <f>SUM(C34:D34)</f>
        <v>612.5</v>
      </c>
      <c r="F34" s="122">
        <v>0</v>
      </c>
      <c r="G34" s="74">
        <v>0</v>
      </c>
      <c r="H34" s="70">
        <v>9.12</v>
      </c>
      <c r="I34" s="70">
        <v>17.544</v>
      </c>
      <c r="J34" s="180">
        <f>541.85+184.251</f>
        <v>726.101</v>
      </c>
      <c r="K34" s="122">
        <f t="shared" si="6"/>
        <v>752.765</v>
      </c>
      <c r="L34" s="74">
        <v>0</v>
      </c>
      <c r="M34" s="123">
        <f t="shared" si="7"/>
        <v>752.765</v>
      </c>
      <c r="N34" s="73"/>
      <c r="O34" s="48"/>
      <c r="P34" s="48"/>
      <c r="Q34" s="48"/>
      <c r="R34" s="48"/>
      <c r="S34" s="48"/>
    </row>
    <row r="35" spans="1:18" ht="12.75">
      <c r="A35" s="54" t="s">
        <v>65</v>
      </c>
      <c r="B35" s="54" t="s">
        <v>3</v>
      </c>
      <c r="C35" s="72">
        <f aca="true" t="shared" si="13" ref="C35:M35">SUM(C33:C34)</f>
        <v>3069.1000000000004</v>
      </c>
      <c r="D35" s="72">
        <f t="shared" si="13"/>
        <v>86.2</v>
      </c>
      <c r="E35" s="118">
        <f t="shared" si="13"/>
        <v>3155.3</v>
      </c>
      <c r="F35" s="125">
        <f t="shared" si="13"/>
        <v>9.317</v>
      </c>
      <c r="G35" s="72">
        <f t="shared" si="13"/>
        <v>3.382</v>
      </c>
      <c r="H35" s="72">
        <f t="shared" si="13"/>
        <v>9.943</v>
      </c>
      <c r="I35" s="72">
        <f t="shared" si="13"/>
        <v>17.544</v>
      </c>
      <c r="J35" s="118">
        <f t="shared" si="13"/>
        <v>2961.196</v>
      </c>
      <c r="K35" s="125">
        <f t="shared" si="13"/>
        <v>3001.3819999999996</v>
      </c>
      <c r="L35" s="72">
        <f t="shared" si="13"/>
        <v>65.164</v>
      </c>
      <c r="M35" s="126">
        <f t="shared" si="13"/>
        <v>3066.546</v>
      </c>
      <c r="N35" s="71"/>
      <c r="P35" s="48"/>
      <c r="Q35" s="48"/>
      <c r="R35" s="48"/>
    </row>
    <row r="36" spans="1:18" ht="12.75">
      <c r="A36" s="55">
        <v>25520</v>
      </c>
      <c r="B36" s="55" t="s">
        <v>53</v>
      </c>
      <c r="C36" s="58">
        <v>2858.5</v>
      </c>
      <c r="D36" s="58">
        <v>0</v>
      </c>
      <c r="E36" s="117">
        <f>SUM(C36:D36)</f>
        <v>2858.5</v>
      </c>
      <c r="F36" s="122">
        <v>20.256</v>
      </c>
      <c r="G36" s="70">
        <v>2.85</v>
      </c>
      <c r="H36" s="70">
        <v>28.407</v>
      </c>
      <c r="I36" s="70">
        <v>7.114</v>
      </c>
      <c r="J36" s="180">
        <f>1935.725+646.925</f>
        <v>2582.6499999999996</v>
      </c>
      <c r="K36" s="122">
        <f t="shared" si="6"/>
        <v>2641.2769999999996</v>
      </c>
      <c r="L36" s="70">
        <v>52.008</v>
      </c>
      <c r="M36" s="123">
        <f t="shared" si="7"/>
        <v>2693.2849999999994</v>
      </c>
      <c r="N36" s="71"/>
      <c r="P36" s="48"/>
      <c r="Q36" s="48"/>
      <c r="R36" s="48"/>
    </row>
    <row r="37" spans="1:19" ht="12.75">
      <c r="A37" s="55">
        <v>25520</v>
      </c>
      <c r="B37" s="55" t="s">
        <v>181</v>
      </c>
      <c r="C37" s="58">
        <v>737.8</v>
      </c>
      <c r="D37" s="58">
        <v>113.6</v>
      </c>
      <c r="E37" s="117">
        <f>SUM(C37:D37)</f>
        <v>851.4</v>
      </c>
      <c r="F37" s="127">
        <v>0</v>
      </c>
      <c r="G37" s="74">
        <v>0</v>
      </c>
      <c r="H37" s="70">
        <v>1.984</v>
      </c>
      <c r="I37" s="70">
        <v>3.009</v>
      </c>
      <c r="J37" s="180">
        <f>673.369+228.945</f>
        <v>902.3140000000001</v>
      </c>
      <c r="K37" s="122">
        <f t="shared" si="6"/>
        <v>907.3070000000001</v>
      </c>
      <c r="L37" s="74">
        <v>0</v>
      </c>
      <c r="M37" s="123">
        <f t="shared" si="7"/>
        <v>907.3070000000001</v>
      </c>
      <c r="N37" s="73"/>
      <c r="O37" s="48"/>
      <c r="P37" s="48"/>
      <c r="Q37" s="48"/>
      <c r="R37" s="48"/>
      <c r="S37" s="48"/>
    </row>
    <row r="38" spans="1:23" ht="12.75">
      <c r="A38" s="54" t="s">
        <v>66</v>
      </c>
      <c r="B38" s="54" t="s">
        <v>3</v>
      </c>
      <c r="C38" s="72">
        <f aca="true" t="shared" si="14" ref="C38:M38">SUM(C36:C37)</f>
        <v>3596.3</v>
      </c>
      <c r="D38" s="72">
        <f t="shared" si="14"/>
        <v>113.6</v>
      </c>
      <c r="E38" s="118">
        <f t="shared" si="14"/>
        <v>3709.9</v>
      </c>
      <c r="F38" s="125">
        <f t="shared" si="14"/>
        <v>20.256</v>
      </c>
      <c r="G38" s="72">
        <f t="shared" si="14"/>
        <v>2.85</v>
      </c>
      <c r="H38" s="72">
        <f t="shared" si="14"/>
        <v>30.391</v>
      </c>
      <c r="I38" s="72">
        <f t="shared" si="14"/>
        <v>10.123</v>
      </c>
      <c r="J38" s="118">
        <f t="shared" si="14"/>
        <v>3484.964</v>
      </c>
      <c r="K38" s="125">
        <f t="shared" si="14"/>
        <v>3548.584</v>
      </c>
      <c r="L38" s="72">
        <f t="shared" si="14"/>
        <v>52.008</v>
      </c>
      <c r="M38" s="126">
        <f t="shared" si="14"/>
        <v>3600.5919999999996</v>
      </c>
      <c r="N38" s="141"/>
      <c r="O38" s="142"/>
      <c r="P38" s="142"/>
      <c r="Q38" s="142"/>
      <c r="R38" s="142"/>
      <c r="S38" s="142"/>
      <c r="T38" s="50"/>
      <c r="U38" s="50"/>
      <c r="V38" s="50"/>
      <c r="W38" s="50"/>
    </row>
    <row r="39" spans="1:19" ht="12.75">
      <c r="A39" s="55">
        <v>25600</v>
      </c>
      <c r="B39" s="55" t="s">
        <v>53</v>
      </c>
      <c r="C39" s="58">
        <v>4116.9</v>
      </c>
      <c r="D39" s="55">
        <v>0</v>
      </c>
      <c r="E39" s="117">
        <f>SUM(C39:D39)</f>
        <v>4116.9</v>
      </c>
      <c r="F39" s="122">
        <v>25.868</v>
      </c>
      <c r="G39" s="70">
        <v>12.247</v>
      </c>
      <c r="H39" s="70">
        <v>12.106</v>
      </c>
      <c r="I39" s="70">
        <v>32.779</v>
      </c>
      <c r="J39" s="180">
        <f>2800.073+943.822</f>
        <v>3743.895</v>
      </c>
      <c r="K39" s="122">
        <f t="shared" si="6"/>
        <v>3826.895</v>
      </c>
      <c r="L39" s="70">
        <v>94.028</v>
      </c>
      <c r="M39" s="123">
        <f t="shared" si="7"/>
        <v>3920.923</v>
      </c>
      <c r="N39" s="73"/>
      <c r="O39" s="48"/>
      <c r="P39" s="48"/>
      <c r="Q39" s="48"/>
      <c r="R39" s="48"/>
      <c r="S39" s="48"/>
    </row>
    <row r="40" spans="1:18" ht="12.75">
      <c r="A40" s="55">
        <v>25600</v>
      </c>
      <c r="B40" s="55" t="s">
        <v>181</v>
      </c>
      <c r="C40" s="55">
        <v>1541.3</v>
      </c>
      <c r="D40" s="55">
        <v>251.6</v>
      </c>
      <c r="E40" s="117">
        <f>SUM(C40:D40)</f>
        <v>1792.8999999999999</v>
      </c>
      <c r="F40" s="122">
        <v>0</v>
      </c>
      <c r="G40" s="70">
        <v>0</v>
      </c>
      <c r="H40" s="70">
        <v>3.12</v>
      </c>
      <c r="I40" s="70">
        <v>0</v>
      </c>
      <c r="J40" s="180">
        <f>1432.122+486.924</f>
        <v>1919.046</v>
      </c>
      <c r="K40" s="122">
        <f t="shared" si="6"/>
        <v>1922.166</v>
      </c>
      <c r="L40" s="74">
        <v>0</v>
      </c>
      <c r="M40" s="123">
        <f t="shared" si="7"/>
        <v>1922.166</v>
      </c>
      <c r="N40" s="71"/>
      <c r="P40" s="48"/>
      <c r="Q40" s="48"/>
      <c r="R40" s="48"/>
    </row>
    <row r="41" spans="1:18" ht="12.75">
      <c r="A41" s="54" t="s">
        <v>67</v>
      </c>
      <c r="B41" s="54" t="s">
        <v>3</v>
      </c>
      <c r="C41" s="72">
        <f>SUM(C39:C40)</f>
        <v>5658.2</v>
      </c>
      <c r="D41" s="72">
        <f>SUM(D39:D40)</f>
        <v>251.6</v>
      </c>
      <c r="E41" s="118">
        <f>SUM(E39:E40)</f>
        <v>5909.799999999999</v>
      </c>
      <c r="F41" s="125">
        <f>SUM(F39:F40)</f>
        <v>25.868</v>
      </c>
      <c r="G41" s="72">
        <f aca="true" t="shared" si="15" ref="G41:M41">SUM(G39:G40)</f>
        <v>12.247</v>
      </c>
      <c r="H41" s="72">
        <f t="shared" si="15"/>
        <v>15.225999999999999</v>
      </c>
      <c r="I41" s="72">
        <f t="shared" si="15"/>
        <v>32.779</v>
      </c>
      <c r="J41" s="118">
        <f t="shared" si="15"/>
        <v>5662.941</v>
      </c>
      <c r="K41" s="125">
        <f t="shared" si="15"/>
        <v>5749.061</v>
      </c>
      <c r="L41" s="72">
        <f t="shared" si="15"/>
        <v>94.028</v>
      </c>
      <c r="M41" s="126">
        <f t="shared" si="15"/>
        <v>5843.089</v>
      </c>
      <c r="N41" s="71"/>
      <c r="P41" s="48"/>
      <c r="Q41" s="48"/>
      <c r="R41" s="48"/>
    </row>
    <row r="42" spans="1:23" s="50" customFormat="1" ht="12.75">
      <c r="A42" s="56">
        <v>25610</v>
      </c>
      <c r="B42" s="56" t="s">
        <v>188</v>
      </c>
      <c r="C42" s="57">
        <v>200</v>
      </c>
      <c r="D42" s="57">
        <v>0</v>
      </c>
      <c r="E42" s="119">
        <f>SUM(C42:D42)</f>
        <v>200</v>
      </c>
      <c r="F42" s="124">
        <v>20</v>
      </c>
      <c r="G42" s="57">
        <v>25.634</v>
      </c>
      <c r="H42" s="57">
        <v>12.428</v>
      </c>
      <c r="I42" s="57">
        <v>8.204</v>
      </c>
      <c r="J42" s="119">
        <f>100+34</f>
        <v>134</v>
      </c>
      <c r="K42" s="122">
        <f t="shared" si="6"/>
        <v>200.266</v>
      </c>
      <c r="L42" s="57">
        <v>0</v>
      </c>
      <c r="M42" s="123">
        <f t="shared" si="7"/>
        <v>200.266</v>
      </c>
      <c r="N42" s="73"/>
      <c r="O42" s="48"/>
      <c r="P42" s="48"/>
      <c r="Q42" s="48"/>
      <c r="R42" s="48"/>
      <c r="S42" s="48"/>
      <c r="T42"/>
      <c r="U42"/>
      <c r="V42"/>
      <c r="W42"/>
    </row>
    <row r="43" spans="1:18" ht="12.75">
      <c r="A43" s="72" t="s">
        <v>212</v>
      </c>
      <c r="B43" s="54"/>
      <c r="C43" s="72">
        <f>SUM(C42)</f>
        <v>200</v>
      </c>
      <c r="D43" s="72">
        <f>SUM(D42)</f>
        <v>0</v>
      </c>
      <c r="E43" s="118">
        <f>SUM(E42)</f>
        <v>200</v>
      </c>
      <c r="F43" s="125">
        <f>SUM(F42)</f>
        <v>20</v>
      </c>
      <c r="G43" s="72">
        <f aca="true" t="shared" si="16" ref="G43:M43">SUM(G42)</f>
        <v>25.634</v>
      </c>
      <c r="H43" s="72">
        <f t="shared" si="16"/>
        <v>12.428</v>
      </c>
      <c r="I43" s="72">
        <f t="shared" si="16"/>
        <v>8.204</v>
      </c>
      <c r="J43" s="118">
        <f t="shared" si="16"/>
        <v>134</v>
      </c>
      <c r="K43" s="125">
        <f t="shared" si="16"/>
        <v>200.266</v>
      </c>
      <c r="L43" s="72">
        <f t="shared" si="16"/>
        <v>0</v>
      </c>
      <c r="M43" s="126">
        <f t="shared" si="16"/>
        <v>200.266</v>
      </c>
      <c r="N43" s="71"/>
      <c r="P43" s="48"/>
      <c r="Q43" s="48"/>
      <c r="R43" s="48"/>
    </row>
    <row r="44" spans="1:18" ht="12.75">
      <c r="A44" s="55">
        <v>25700</v>
      </c>
      <c r="B44" s="55" t="s">
        <v>53</v>
      </c>
      <c r="C44" s="58">
        <v>4517.2</v>
      </c>
      <c r="D44" s="58">
        <v>0</v>
      </c>
      <c r="E44" s="117">
        <f>SUM(C44:D44)</f>
        <v>4517.2</v>
      </c>
      <c r="F44" s="122">
        <v>56.195</v>
      </c>
      <c r="G44" s="70">
        <v>4.305</v>
      </c>
      <c r="H44" s="70">
        <v>0.441</v>
      </c>
      <c r="I44" s="70">
        <v>87.878</v>
      </c>
      <c r="J44" s="180">
        <f>2989.205+970.865</f>
        <v>3960.0699999999997</v>
      </c>
      <c r="K44" s="122">
        <f t="shared" si="6"/>
        <v>4108.889</v>
      </c>
      <c r="L44" s="70">
        <v>83.512</v>
      </c>
      <c r="M44" s="123">
        <f t="shared" si="7"/>
        <v>4192.401</v>
      </c>
      <c r="N44" s="71"/>
      <c r="P44" s="48"/>
      <c r="Q44" s="48"/>
      <c r="R44" s="48"/>
    </row>
    <row r="45" spans="1:19" ht="12.75">
      <c r="A45" s="55">
        <v>25700</v>
      </c>
      <c r="B45" s="55" t="s">
        <v>181</v>
      </c>
      <c r="C45" s="58">
        <v>896.2</v>
      </c>
      <c r="D45" s="58">
        <v>438.6</v>
      </c>
      <c r="E45" s="117">
        <f>SUM(C45:D45)</f>
        <v>1334.8000000000002</v>
      </c>
      <c r="F45" s="122">
        <v>0.725</v>
      </c>
      <c r="G45" s="70">
        <v>0</v>
      </c>
      <c r="H45" s="70">
        <v>37.743</v>
      </c>
      <c r="I45" s="70">
        <v>4.952</v>
      </c>
      <c r="J45" s="180">
        <f>1268.768+429.148</f>
        <v>1697.9160000000002</v>
      </c>
      <c r="K45" s="122">
        <f t="shared" si="6"/>
        <v>1741.3360000000002</v>
      </c>
      <c r="L45" s="70">
        <v>0</v>
      </c>
      <c r="M45" s="123">
        <f t="shared" si="7"/>
        <v>1741.3360000000002</v>
      </c>
      <c r="N45" s="73"/>
      <c r="O45" s="48"/>
      <c r="P45" s="48"/>
      <c r="Q45" s="48"/>
      <c r="R45" s="48"/>
      <c r="S45" s="48"/>
    </row>
    <row r="46" spans="1:18" ht="12.75">
      <c r="A46" s="54" t="s">
        <v>211</v>
      </c>
      <c r="B46" s="54" t="s">
        <v>3</v>
      </c>
      <c r="C46" s="72">
        <f aca="true" t="shared" si="17" ref="C46:M46">SUM(C44:C45)</f>
        <v>5413.4</v>
      </c>
      <c r="D46" s="72">
        <f t="shared" si="17"/>
        <v>438.6</v>
      </c>
      <c r="E46" s="118">
        <f t="shared" si="17"/>
        <v>5852</v>
      </c>
      <c r="F46" s="125">
        <f t="shared" si="17"/>
        <v>56.92</v>
      </c>
      <c r="G46" s="72">
        <f t="shared" si="17"/>
        <v>4.305</v>
      </c>
      <c r="H46" s="72">
        <f t="shared" si="17"/>
        <v>38.184000000000005</v>
      </c>
      <c r="I46" s="72">
        <f t="shared" si="17"/>
        <v>92.83</v>
      </c>
      <c r="J46" s="118">
        <f t="shared" si="17"/>
        <v>5657.986</v>
      </c>
      <c r="K46" s="125">
        <f t="shared" si="17"/>
        <v>5850.225</v>
      </c>
      <c r="L46" s="72">
        <f t="shared" si="17"/>
        <v>83.512</v>
      </c>
      <c r="M46" s="126">
        <f t="shared" si="17"/>
        <v>5933.737</v>
      </c>
      <c r="N46" s="69"/>
      <c r="P46" s="48"/>
      <c r="Q46" s="48"/>
      <c r="R46" s="48"/>
    </row>
    <row r="47" spans="1:23" ht="12.75">
      <c r="A47" s="55">
        <v>25800</v>
      </c>
      <c r="B47" s="55" t="s">
        <v>53</v>
      </c>
      <c r="C47" s="58">
        <v>3186.1</v>
      </c>
      <c r="D47" s="58">
        <v>0</v>
      </c>
      <c r="E47" s="117">
        <f>SUM(C47:D47)</f>
        <v>3186.1</v>
      </c>
      <c r="F47" s="122">
        <v>58.72</v>
      </c>
      <c r="G47" s="70">
        <v>32.055</v>
      </c>
      <c r="H47" s="70">
        <v>9.917</v>
      </c>
      <c r="I47" s="70">
        <v>81.34</v>
      </c>
      <c r="J47" s="180">
        <f>2638.033+833.04</f>
        <v>3471.073</v>
      </c>
      <c r="K47" s="122">
        <f t="shared" si="6"/>
        <v>3653.105</v>
      </c>
      <c r="L47" s="70">
        <v>59.18</v>
      </c>
      <c r="M47" s="123">
        <f t="shared" si="7"/>
        <v>3712.285</v>
      </c>
      <c r="N47" s="69"/>
      <c r="O47" s="75"/>
      <c r="P47" s="48"/>
      <c r="Q47" s="48"/>
      <c r="R47" s="48"/>
      <c r="S47" s="75"/>
      <c r="T47" s="75"/>
      <c r="U47" s="75"/>
      <c r="V47" s="75"/>
      <c r="W47" s="75"/>
    </row>
    <row r="48" spans="1:23" ht="12.75">
      <c r="A48" s="55">
        <v>25800</v>
      </c>
      <c r="B48" s="55" t="s">
        <v>181</v>
      </c>
      <c r="C48" s="58">
        <v>2441.4</v>
      </c>
      <c r="D48" s="58">
        <v>212.3</v>
      </c>
      <c r="E48" s="117">
        <f>SUM(C48:D48)</f>
        <v>2653.7000000000003</v>
      </c>
      <c r="F48" s="122">
        <v>7.996</v>
      </c>
      <c r="G48" s="70">
        <v>0</v>
      </c>
      <c r="H48" s="70">
        <v>95.421</v>
      </c>
      <c r="I48" s="70">
        <v>38.622</v>
      </c>
      <c r="J48" s="180">
        <f>1239.159+417.212</f>
        <v>1656.371</v>
      </c>
      <c r="K48" s="122">
        <f t="shared" si="6"/>
        <v>1798.41</v>
      </c>
      <c r="L48" s="70">
        <v>0</v>
      </c>
      <c r="M48" s="123">
        <f t="shared" si="7"/>
        <v>1798.41</v>
      </c>
      <c r="N48" s="69"/>
      <c r="O48" s="76"/>
      <c r="P48" s="48"/>
      <c r="Q48" s="48"/>
      <c r="R48" s="48"/>
      <c r="S48" s="76"/>
      <c r="T48" s="75"/>
      <c r="U48" s="75"/>
      <c r="V48" s="75"/>
      <c r="W48" s="75"/>
    </row>
    <row r="49" spans="1:23" ht="12.75">
      <c r="A49" s="54" t="s">
        <v>68</v>
      </c>
      <c r="B49" s="54" t="s">
        <v>3</v>
      </c>
      <c r="C49" s="72">
        <f>SUM(C47:C48)</f>
        <v>5627.5</v>
      </c>
      <c r="D49" s="72">
        <f>SUM(D47:D48)</f>
        <v>212.3</v>
      </c>
      <c r="E49" s="118">
        <f>SUM(E47:E48)</f>
        <v>5839.8</v>
      </c>
      <c r="F49" s="125">
        <f>SUM(F47:F48)</f>
        <v>66.716</v>
      </c>
      <c r="G49" s="72">
        <f aca="true" t="shared" si="18" ref="G49:M49">SUM(G47:G48)</f>
        <v>32.055</v>
      </c>
      <c r="H49" s="72">
        <f t="shared" si="18"/>
        <v>105.33800000000001</v>
      </c>
      <c r="I49" s="72">
        <f t="shared" si="18"/>
        <v>119.962</v>
      </c>
      <c r="J49" s="118">
        <f t="shared" si="18"/>
        <v>5127.4439999999995</v>
      </c>
      <c r="K49" s="125">
        <f t="shared" si="18"/>
        <v>5451.515</v>
      </c>
      <c r="L49" s="72">
        <f t="shared" si="18"/>
        <v>59.18</v>
      </c>
      <c r="M49" s="126">
        <f t="shared" si="18"/>
        <v>5510.695</v>
      </c>
      <c r="N49" s="69"/>
      <c r="O49" s="76"/>
      <c r="P49" s="48"/>
      <c r="Q49" s="48"/>
      <c r="R49" s="48"/>
      <c r="S49" s="76"/>
      <c r="T49" s="75"/>
      <c r="U49" s="75"/>
      <c r="V49" s="75"/>
      <c r="W49" s="75"/>
    </row>
    <row r="50" spans="1:23" ht="12.75">
      <c r="A50" s="55">
        <v>25810</v>
      </c>
      <c r="B50" s="55" t="s">
        <v>53</v>
      </c>
      <c r="C50" s="58">
        <v>1746</v>
      </c>
      <c r="D50" s="58">
        <v>0</v>
      </c>
      <c r="E50" s="117">
        <f>SUM(C50:D50)</f>
        <v>1746</v>
      </c>
      <c r="F50" s="124">
        <v>3.352</v>
      </c>
      <c r="G50" s="57">
        <v>0</v>
      </c>
      <c r="H50" s="57">
        <v>8.504</v>
      </c>
      <c r="I50" s="57">
        <v>1.736</v>
      </c>
      <c r="J50" s="119">
        <f>1299.469+405.712</f>
        <v>1705.181</v>
      </c>
      <c r="K50" s="122">
        <f t="shared" si="6"/>
        <v>1718.7730000000001</v>
      </c>
      <c r="L50" s="57">
        <v>43.032</v>
      </c>
      <c r="M50" s="123">
        <f t="shared" si="7"/>
        <v>1761.805</v>
      </c>
      <c r="N50" s="69"/>
      <c r="O50" s="76"/>
      <c r="P50" s="48"/>
      <c r="Q50" s="48"/>
      <c r="R50" s="48"/>
      <c r="S50" s="76"/>
      <c r="T50" s="75"/>
      <c r="U50" s="75"/>
      <c r="V50" s="75"/>
      <c r="W50" s="75"/>
    </row>
    <row r="51" spans="1:18" s="75" customFormat="1" ht="12.75">
      <c r="A51" s="55">
        <v>25810</v>
      </c>
      <c r="B51" s="55" t="s">
        <v>181</v>
      </c>
      <c r="C51" s="58">
        <v>286.8</v>
      </c>
      <c r="D51" s="58">
        <v>0</v>
      </c>
      <c r="E51" s="117">
        <f>SUM(C51:D51)</f>
        <v>286.8</v>
      </c>
      <c r="F51" s="124">
        <v>0</v>
      </c>
      <c r="G51" s="57">
        <v>0</v>
      </c>
      <c r="H51" s="57">
        <v>0.804</v>
      </c>
      <c r="I51" s="57">
        <v>0</v>
      </c>
      <c r="J51" s="119">
        <f>336.733+114.489</f>
        <v>451.222</v>
      </c>
      <c r="K51" s="122">
        <f t="shared" si="6"/>
        <v>452.02599999999995</v>
      </c>
      <c r="L51" s="57">
        <v>0</v>
      </c>
      <c r="M51" s="123">
        <f t="shared" si="7"/>
        <v>452.02599999999995</v>
      </c>
      <c r="N51" s="69"/>
      <c r="P51" s="48"/>
      <c r="Q51" s="48"/>
      <c r="R51" s="48"/>
    </row>
    <row r="52" spans="1:23" s="75" customFormat="1" ht="12.75">
      <c r="A52" s="54" t="s">
        <v>69</v>
      </c>
      <c r="B52" s="54" t="s">
        <v>3</v>
      </c>
      <c r="C52" s="72">
        <f>C51+C50</f>
        <v>2032.8</v>
      </c>
      <c r="D52" s="72">
        <f>D51+D50</f>
        <v>0</v>
      </c>
      <c r="E52" s="118">
        <f aca="true" t="shared" si="19" ref="E52:M52">SUM(E50:E51)</f>
        <v>2032.8</v>
      </c>
      <c r="F52" s="125">
        <f t="shared" si="19"/>
        <v>3.352</v>
      </c>
      <c r="G52" s="72">
        <f t="shared" si="19"/>
        <v>0</v>
      </c>
      <c r="H52" s="72">
        <f t="shared" si="19"/>
        <v>9.308</v>
      </c>
      <c r="I52" s="72">
        <f t="shared" si="19"/>
        <v>1.736</v>
      </c>
      <c r="J52" s="118">
        <f t="shared" si="19"/>
        <v>2156.4030000000002</v>
      </c>
      <c r="K52" s="125">
        <f t="shared" si="19"/>
        <v>2170.799</v>
      </c>
      <c r="L52" s="72">
        <f t="shared" si="19"/>
        <v>43.032</v>
      </c>
      <c r="M52" s="126">
        <f t="shared" si="19"/>
        <v>2213.831</v>
      </c>
      <c r="N52" s="50"/>
      <c r="O52" s="50"/>
      <c r="P52" s="50"/>
      <c r="Q52" s="50"/>
      <c r="R52" s="50"/>
      <c r="S52" s="50"/>
      <c r="T52" s="50"/>
      <c r="U52" s="50"/>
      <c r="V52" s="50"/>
      <c r="W52" s="50"/>
    </row>
    <row r="53" spans="1:23" s="75" customFormat="1" ht="12.75">
      <c r="A53" s="56">
        <v>25820</v>
      </c>
      <c r="B53" s="56" t="s">
        <v>181</v>
      </c>
      <c r="C53" s="57">
        <v>0</v>
      </c>
      <c r="D53" s="57">
        <v>0</v>
      </c>
      <c r="E53" s="119">
        <f>SUM(C53:D53)</f>
        <v>0</v>
      </c>
      <c r="F53" s="124">
        <v>2.147</v>
      </c>
      <c r="G53" s="57">
        <v>0</v>
      </c>
      <c r="H53" s="57">
        <v>0</v>
      </c>
      <c r="I53" s="57">
        <v>0.63</v>
      </c>
      <c r="J53" s="119">
        <v>0</v>
      </c>
      <c r="K53" s="122">
        <f t="shared" si="6"/>
        <v>2.7769999999999997</v>
      </c>
      <c r="L53" s="57">
        <v>24.2</v>
      </c>
      <c r="M53" s="123">
        <f t="shared" si="7"/>
        <v>26.977</v>
      </c>
      <c r="N53" s="50"/>
      <c r="O53" s="50"/>
      <c r="P53" s="50"/>
      <c r="Q53" s="50"/>
      <c r="R53" s="50"/>
      <c r="S53" s="50"/>
      <c r="T53" s="50"/>
      <c r="U53" s="50"/>
      <c r="V53" s="50"/>
      <c r="W53" s="50"/>
    </row>
    <row r="54" spans="1:23" s="75" customFormat="1" ht="12.75">
      <c r="A54" s="56">
        <v>25820</v>
      </c>
      <c r="B54" s="56" t="s">
        <v>189</v>
      </c>
      <c r="C54" s="57">
        <v>1000</v>
      </c>
      <c r="D54" s="57">
        <v>0</v>
      </c>
      <c r="E54" s="119">
        <f>SUM(C54:D54)</f>
        <v>1000</v>
      </c>
      <c r="F54" s="124">
        <f>38.893+6.77</f>
        <v>45.663</v>
      </c>
      <c r="G54" s="57">
        <v>0</v>
      </c>
      <c r="H54" s="57">
        <v>27.469</v>
      </c>
      <c r="I54" s="57">
        <v>147.167</v>
      </c>
      <c r="J54" s="119">
        <f>611.502+165.352</f>
        <v>776.8539999999999</v>
      </c>
      <c r="K54" s="122">
        <f t="shared" si="6"/>
        <v>997.1529999999999</v>
      </c>
      <c r="L54" s="57">
        <v>0</v>
      </c>
      <c r="M54" s="123">
        <f t="shared" si="7"/>
        <v>997.1529999999999</v>
      </c>
      <c r="N54" s="50"/>
      <c r="O54" s="50"/>
      <c r="P54" s="50"/>
      <c r="Q54" s="50"/>
      <c r="R54" s="50"/>
      <c r="S54" s="50"/>
      <c r="T54" s="50"/>
      <c r="U54" s="50"/>
      <c r="V54" s="50"/>
      <c r="W54" s="50"/>
    </row>
    <row r="55" spans="1:23" s="75" customFormat="1" ht="12.75">
      <c r="A55" s="54" t="s">
        <v>137</v>
      </c>
      <c r="B55" s="54" t="s">
        <v>3</v>
      </c>
      <c r="C55" s="72">
        <f>SUM(C53:C54)</f>
        <v>1000</v>
      </c>
      <c r="D55" s="72">
        <f>SUM(D53:D54)</f>
        <v>0</v>
      </c>
      <c r="E55" s="118">
        <f>SUM(E53:E54)</f>
        <v>1000</v>
      </c>
      <c r="F55" s="125">
        <f>SUM(F53:F54)</f>
        <v>47.809999999999995</v>
      </c>
      <c r="G55" s="72">
        <f aca="true" t="shared" si="20" ref="G55:M55">SUM(G53:G54)</f>
        <v>0</v>
      </c>
      <c r="H55" s="72">
        <f t="shared" si="20"/>
        <v>27.469</v>
      </c>
      <c r="I55" s="72">
        <f t="shared" si="20"/>
        <v>147.797</v>
      </c>
      <c r="J55" s="118">
        <f t="shared" si="20"/>
        <v>776.8539999999999</v>
      </c>
      <c r="K55" s="125">
        <f t="shared" si="20"/>
        <v>999.93</v>
      </c>
      <c r="L55" s="72">
        <f t="shared" si="20"/>
        <v>24.2</v>
      </c>
      <c r="M55" s="126">
        <f t="shared" si="20"/>
        <v>1024.1299999999999</v>
      </c>
      <c r="N55"/>
      <c r="O55"/>
      <c r="P55"/>
      <c r="Q55"/>
      <c r="R55"/>
      <c r="S55"/>
      <c r="T55"/>
      <c r="U55"/>
      <c r="V55"/>
      <c r="W55"/>
    </row>
    <row r="56" spans="1:23" s="50" customFormat="1" ht="12.75">
      <c r="A56" s="56">
        <v>25830</v>
      </c>
      <c r="B56" s="56" t="s">
        <v>53</v>
      </c>
      <c r="C56" s="57">
        <v>0</v>
      </c>
      <c r="D56" s="57">
        <v>0</v>
      </c>
      <c r="E56" s="119">
        <f>SUM(C56:D56)</f>
        <v>0</v>
      </c>
      <c r="F56" s="124">
        <v>0</v>
      </c>
      <c r="G56" s="57">
        <v>0</v>
      </c>
      <c r="H56" s="57">
        <v>0</v>
      </c>
      <c r="I56" s="57">
        <v>0</v>
      </c>
      <c r="J56" s="119">
        <v>0</v>
      </c>
      <c r="K56" s="122">
        <f t="shared" si="6"/>
        <v>0</v>
      </c>
      <c r="L56" s="57">
        <v>8.448</v>
      </c>
      <c r="M56" s="123">
        <f t="shared" si="7"/>
        <v>8.448</v>
      </c>
      <c r="N56"/>
      <c r="O56"/>
      <c r="P56"/>
      <c r="Q56"/>
      <c r="R56"/>
      <c r="S56"/>
      <c r="T56"/>
      <c r="U56"/>
      <c r="V56"/>
      <c r="W56"/>
    </row>
    <row r="57" spans="1:23" s="50" customFormat="1" ht="13.5" thickBot="1">
      <c r="A57" s="54" t="s">
        <v>237</v>
      </c>
      <c r="B57" s="54" t="s">
        <v>3</v>
      </c>
      <c r="C57" s="72">
        <f aca="true" t="shared" si="21" ref="C57:M57">SUM(C56:C56)</f>
        <v>0</v>
      </c>
      <c r="D57" s="72">
        <f t="shared" si="21"/>
        <v>0</v>
      </c>
      <c r="E57" s="118">
        <f t="shared" si="21"/>
        <v>0</v>
      </c>
      <c r="F57" s="182">
        <f t="shared" si="21"/>
        <v>0</v>
      </c>
      <c r="G57" s="181">
        <f t="shared" si="21"/>
        <v>0</v>
      </c>
      <c r="H57" s="181">
        <f t="shared" si="21"/>
        <v>0</v>
      </c>
      <c r="I57" s="181">
        <f t="shared" si="21"/>
        <v>0</v>
      </c>
      <c r="J57" s="185">
        <f t="shared" si="21"/>
        <v>0</v>
      </c>
      <c r="K57" s="182">
        <f t="shared" si="21"/>
        <v>0</v>
      </c>
      <c r="L57" s="181">
        <f t="shared" si="21"/>
        <v>8.448</v>
      </c>
      <c r="M57" s="183">
        <f t="shared" si="21"/>
        <v>8.448</v>
      </c>
      <c r="N57"/>
      <c r="O57"/>
      <c r="P57"/>
      <c r="Q57"/>
      <c r="R57"/>
      <c r="S57"/>
      <c r="T57"/>
      <c r="U57"/>
      <c r="V57"/>
      <c r="W57"/>
    </row>
    <row r="58" spans="1:23" s="50" customFormat="1" ht="12.75">
      <c r="A58" s="94"/>
      <c r="B58" s="79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/>
      <c r="O58"/>
      <c r="P58"/>
      <c r="Q58"/>
      <c r="R58"/>
      <c r="S58"/>
      <c r="T58"/>
      <c r="U58"/>
      <c r="V58"/>
      <c r="W58"/>
    </row>
    <row r="59" spans="2:13" ht="12.75">
      <c r="B59" s="75"/>
      <c r="C59" s="75"/>
      <c r="D59" s="75"/>
      <c r="E59" s="75"/>
      <c r="F59" s="77"/>
      <c r="G59" s="76"/>
      <c r="H59" s="76"/>
      <c r="I59" s="76"/>
      <c r="J59" s="76"/>
      <c r="K59" s="76"/>
      <c r="L59" s="76"/>
      <c r="M59" s="76"/>
    </row>
    <row r="60" spans="1:13" ht="12.75">
      <c r="A60" t="s">
        <v>289</v>
      </c>
      <c r="B60" s="75"/>
      <c r="C60" s="75"/>
      <c r="D60" s="75"/>
      <c r="E60" s="75"/>
      <c r="F60" s="77"/>
      <c r="G60" s="76"/>
      <c r="H60" s="76"/>
      <c r="I60" s="76"/>
      <c r="J60" s="76"/>
      <c r="K60" s="76"/>
      <c r="L60" s="76"/>
      <c r="M60" s="76"/>
    </row>
    <row r="61" ht="12.75">
      <c r="A61" t="s">
        <v>214</v>
      </c>
    </row>
  </sheetData>
  <sheetProtection/>
  <printOptions/>
  <pageMargins left="0" right="0" top="0.3937007874015748" bottom="0.3937007874015748" header="0.5118110236220472" footer="0.11811023622047245"/>
  <pageSetup horizontalDpi="600" verticalDpi="600" orientation="portrait" paperSize="9" r:id="rId1"/>
  <headerFooter alignWithMargins="0">
    <oddFooter>&amp;L&amp;F&amp;A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F25" sqref="F25"/>
    </sheetView>
  </sheetViews>
  <sheetFormatPr defaultColWidth="9.00390625" defaultRowHeight="12.75"/>
  <cols>
    <col min="1" max="1" width="11.125" style="2" customWidth="1"/>
    <col min="2" max="2" width="10.375" style="2" customWidth="1"/>
    <col min="3" max="3" width="14.625" style="2" customWidth="1"/>
    <col min="4" max="4" width="14.75390625" style="2" customWidth="1"/>
    <col min="5" max="5" width="16.625" style="2" customWidth="1"/>
    <col min="6" max="7" width="9.125" style="2" customWidth="1"/>
    <col min="8" max="8" width="10.625" style="2" bestFit="1" customWidth="1"/>
    <col min="9" max="16384" width="9.125" style="2" customWidth="1"/>
  </cols>
  <sheetData>
    <row r="1" ht="12.75">
      <c r="A1" s="60" t="s">
        <v>292</v>
      </c>
    </row>
    <row r="2" spans="1:5" ht="12.75">
      <c r="A2" s="3" t="s">
        <v>37</v>
      </c>
      <c r="B2" s="4"/>
      <c r="C2" s="307" t="s">
        <v>44</v>
      </c>
      <c r="D2" s="309"/>
      <c r="E2" s="5" t="s">
        <v>15</v>
      </c>
    </row>
    <row r="3" spans="1:5" ht="12.75">
      <c r="A3" s="6"/>
      <c r="B3" s="7"/>
      <c r="C3" s="310"/>
      <c r="D3" s="312"/>
      <c r="E3" s="8" t="s">
        <v>46</v>
      </c>
    </row>
    <row r="4" spans="1:5" ht="12.75">
      <c r="A4" s="6"/>
      <c r="B4" s="7"/>
      <c r="C4" s="9" t="s">
        <v>2</v>
      </c>
      <c r="D4" s="40" t="s">
        <v>1</v>
      </c>
      <c r="E4" s="11"/>
    </row>
    <row r="5" spans="1:5" ht="12.75">
      <c r="A5" s="6"/>
      <c r="B5" s="7"/>
      <c r="C5" s="10"/>
      <c r="D5" s="10"/>
      <c r="E5" s="11"/>
    </row>
    <row r="6" spans="1:5" ht="12.75">
      <c r="A6" s="12"/>
      <c r="B6" s="7"/>
      <c r="C6" s="10"/>
      <c r="D6" s="10"/>
      <c r="E6" s="13"/>
    </row>
    <row r="7" spans="1:5" ht="13.5" thickBot="1">
      <c r="A7" s="14"/>
      <c r="B7" s="15"/>
      <c r="C7" s="16" t="s">
        <v>76</v>
      </c>
      <c r="D7" s="16" t="s">
        <v>76</v>
      </c>
      <c r="E7" s="17" t="s">
        <v>76</v>
      </c>
    </row>
    <row r="8" spans="1:5" ht="13.5" thickTop="1">
      <c r="A8" s="18" t="s">
        <v>6</v>
      </c>
      <c r="B8" s="19"/>
      <c r="C8" s="20" t="s">
        <v>7</v>
      </c>
      <c r="D8" s="22" t="s">
        <v>8</v>
      </c>
      <c r="E8" s="23" t="s">
        <v>9</v>
      </c>
    </row>
    <row r="9" spans="1:5" ht="13.5" thickBot="1">
      <c r="A9" s="24" t="s">
        <v>10</v>
      </c>
      <c r="B9" s="25"/>
      <c r="C9" s="26"/>
      <c r="D9" s="28"/>
      <c r="E9" s="29" t="s">
        <v>17</v>
      </c>
    </row>
    <row r="10" spans="1:8" ht="13.5" thickTop="1">
      <c r="A10" s="30">
        <v>25100</v>
      </c>
      <c r="B10" s="31">
        <v>6136</v>
      </c>
      <c r="C10" s="32">
        <v>599700</v>
      </c>
      <c r="D10" s="83">
        <v>599700</v>
      </c>
      <c r="E10" s="42">
        <f>C10-D10</f>
        <v>0</v>
      </c>
      <c r="F10" s="143" t="s">
        <v>293</v>
      </c>
      <c r="G10" s="144"/>
      <c r="H10" s="144"/>
    </row>
    <row r="11" spans="1:6" ht="12.75">
      <c r="A11" s="30">
        <v>25100</v>
      </c>
      <c r="B11" s="31">
        <v>6141</v>
      </c>
      <c r="C11" s="32">
        <v>573500</v>
      </c>
      <c r="D11" s="83">
        <v>573500</v>
      </c>
      <c r="E11" s="42">
        <f>C11-D11</f>
        <v>0</v>
      </c>
      <c r="F11" s="143" t="s">
        <v>297</v>
      </c>
    </row>
    <row r="12" spans="1:6" ht="12.75">
      <c r="A12" s="34">
        <v>25220</v>
      </c>
      <c r="B12" s="31">
        <v>6138</v>
      </c>
      <c r="C12" s="36">
        <v>428000</v>
      </c>
      <c r="D12" s="84">
        <v>428000</v>
      </c>
      <c r="E12" s="42">
        <f aca="true" t="shared" si="0" ref="E12:E24">C12-D12</f>
        <v>0</v>
      </c>
      <c r="F12" s="134" t="s">
        <v>294</v>
      </c>
    </row>
    <row r="13" spans="1:6" ht="12.75">
      <c r="A13" s="34">
        <v>25230</v>
      </c>
      <c r="B13" s="31">
        <v>6143</v>
      </c>
      <c r="C13" s="36">
        <v>384400</v>
      </c>
      <c r="D13" s="84">
        <v>384400</v>
      </c>
      <c r="E13" s="42">
        <f t="shared" si="0"/>
        <v>0</v>
      </c>
      <c r="F13" s="2" t="s">
        <v>295</v>
      </c>
    </row>
    <row r="14" spans="1:6" ht="12.75">
      <c r="A14" s="34">
        <v>25300</v>
      </c>
      <c r="B14" s="31">
        <v>6134</v>
      </c>
      <c r="C14" s="36">
        <v>293900</v>
      </c>
      <c r="D14" s="84">
        <v>293900</v>
      </c>
      <c r="E14" s="42">
        <f t="shared" si="0"/>
        <v>0</v>
      </c>
      <c r="F14" s="2" t="s">
        <v>298</v>
      </c>
    </row>
    <row r="15" spans="1:6" ht="12.75">
      <c r="A15" s="34">
        <v>25300</v>
      </c>
      <c r="B15" s="31">
        <v>6144</v>
      </c>
      <c r="C15" s="36">
        <v>333500</v>
      </c>
      <c r="D15" s="84">
        <v>333500</v>
      </c>
      <c r="E15" s="42">
        <f t="shared" si="0"/>
        <v>0</v>
      </c>
      <c r="F15" s="2" t="s">
        <v>296</v>
      </c>
    </row>
    <row r="16" spans="1:6" ht="12.75">
      <c r="A16" s="34">
        <v>25350</v>
      </c>
      <c r="B16" s="31">
        <v>6137</v>
      </c>
      <c r="C16" s="36">
        <v>283400</v>
      </c>
      <c r="D16" s="84">
        <v>283400</v>
      </c>
      <c r="E16" s="42">
        <f t="shared" si="0"/>
        <v>0</v>
      </c>
      <c r="F16" s="2" t="s">
        <v>302</v>
      </c>
    </row>
    <row r="17" spans="1:6" ht="12.75">
      <c r="A17" s="34">
        <v>25350</v>
      </c>
      <c r="B17" s="31">
        <v>6146</v>
      </c>
      <c r="C17" s="36">
        <v>512200</v>
      </c>
      <c r="D17" s="84">
        <v>512200</v>
      </c>
      <c r="E17" s="42">
        <f t="shared" si="0"/>
        <v>0</v>
      </c>
      <c r="F17" s="2" t="s">
        <v>303</v>
      </c>
    </row>
    <row r="18" spans="1:6" ht="12.75">
      <c r="A18" s="34">
        <v>25351</v>
      </c>
      <c r="B18" s="31">
        <v>6135</v>
      </c>
      <c r="C18" s="36">
        <v>132800</v>
      </c>
      <c r="D18" s="84">
        <v>132800</v>
      </c>
      <c r="E18" s="42">
        <f t="shared" si="0"/>
        <v>0</v>
      </c>
      <c r="F18" s="2" t="s">
        <v>304</v>
      </c>
    </row>
    <row r="19" spans="1:8" ht="12.75">
      <c r="A19" s="30">
        <v>25351</v>
      </c>
      <c r="B19" s="31">
        <v>6142</v>
      </c>
      <c r="C19" s="32">
        <v>150100</v>
      </c>
      <c r="D19" s="83">
        <v>150100</v>
      </c>
      <c r="E19" s="42">
        <f t="shared" si="0"/>
        <v>0</v>
      </c>
      <c r="F19" s="2" t="s">
        <v>305</v>
      </c>
      <c r="H19" s="98"/>
    </row>
    <row r="20" spans="1:6" ht="12.75">
      <c r="A20" s="30">
        <v>25400</v>
      </c>
      <c r="B20" s="31">
        <v>6140</v>
      </c>
      <c r="C20" s="32">
        <v>341500</v>
      </c>
      <c r="D20" s="83">
        <v>341500</v>
      </c>
      <c r="E20" s="42">
        <f t="shared" si="0"/>
        <v>0</v>
      </c>
      <c r="F20" s="2" t="s">
        <v>306</v>
      </c>
    </row>
    <row r="21" spans="1:6" ht="12.75">
      <c r="A21" s="30">
        <v>25600</v>
      </c>
      <c r="B21" s="31">
        <v>6145</v>
      </c>
      <c r="C21" s="32">
        <v>257700</v>
      </c>
      <c r="D21" s="83">
        <v>257700</v>
      </c>
      <c r="E21" s="42">
        <f t="shared" si="0"/>
        <v>0</v>
      </c>
      <c r="F21" s="2" t="s">
        <v>307</v>
      </c>
    </row>
    <row r="22" spans="1:6" ht="12.75">
      <c r="A22" s="30">
        <v>25800</v>
      </c>
      <c r="B22" s="31">
        <v>6139</v>
      </c>
      <c r="C22" s="32">
        <v>210600</v>
      </c>
      <c r="D22" s="83">
        <v>210600</v>
      </c>
      <c r="E22" s="42">
        <f t="shared" si="0"/>
        <v>0</v>
      </c>
      <c r="F22" s="2" t="s">
        <v>308</v>
      </c>
    </row>
    <row r="23" spans="1:6" ht="12.75">
      <c r="A23" s="30">
        <v>25800</v>
      </c>
      <c r="B23" s="31">
        <v>6147</v>
      </c>
      <c r="C23" s="32">
        <v>808700</v>
      </c>
      <c r="D23" s="83">
        <v>808700</v>
      </c>
      <c r="E23" s="42">
        <f t="shared" si="0"/>
        <v>0</v>
      </c>
      <c r="F23" s="2" t="s">
        <v>309</v>
      </c>
    </row>
    <row r="24" spans="1:6" ht="12.75">
      <c r="A24" s="30">
        <v>25950</v>
      </c>
      <c r="B24" s="31">
        <v>6101</v>
      </c>
      <c r="C24" s="32">
        <v>106000</v>
      </c>
      <c r="D24" s="83">
        <v>106000</v>
      </c>
      <c r="E24" s="42">
        <f t="shared" si="0"/>
        <v>0</v>
      </c>
      <c r="F24" s="2" t="s">
        <v>310</v>
      </c>
    </row>
    <row r="25" spans="1:5" ht="13.5" thickBot="1">
      <c r="A25" s="30"/>
      <c r="B25" s="31"/>
      <c r="C25" s="32"/>
      <c r="D25" s="83"/>
      <c r="E25" s="42"/>
    </row>
    <row r="26" spans="1:5" ht="13.5" thickTop="1">
      <c r="A26" s="37" t="s">
        <v>5</v>
      </c>
      <c r="B26" s="38"/>
      <c r="C26" s="39">
        <f>SUM(C10:C25)</f>
        <v>5416000</v>
      </c>
      <c r="D26" s="43">
        <f>SUM(D10:D25)</f>
        <v>5416000</v>
      </c>
      <c r="E26" s="41">
        <f>SUM(E10:E18)</f>
        <v>0</v>
      </c>
    </row>
    <row r="27" spans="3:5" ht="12.75">
      <c r="C27" s="47">
        <f>C26/1000</f>
        <v>5416</v>
      </c>
      <c r="D27" s="47">
        <f>D26/1000</f>
        <v>5416</v>
      </c>
      <c r="E27" s="47">
        <f>E26/1000</f>
        <v>0</v>
      </c>
    </row>
    <row r="28" ht="12.75">
      <c r="A28" s="2" t="s">
        <v>299</v>
      </c>
    </row>
    <row r="29" ht="12.75">
      <c r="A29" s="2" t="s">
        <v>179</v>
      </c>
    </row>
    <row r="30" ht="12.75">
      <c r="A30" s="2" t="s">
        <v>300</v>
      </c>
    </row>
    <row r="31" spans="1:4" ht="12.75">
      <c r="A31" s="2" t="s">
        <v>220</v>
      </c>
      <c r="D31" s="78"/>
    </row>
    <row r="32" ht="12.75">
      <c r="E32" s="78"/>
    </row>
    <row r="34" ht="12.75">
      <c r="E34" s="98"/>
    </row>
  </sheetData>
  <sheetProtection/>
  <mergeCells count="1">
    <mergeCell ref="C2:D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Footer>&amp;L&amp;A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22">
      <selection activeCell="A54" sqref="A54"/>
    </sheetView>
  </sheetViews>
  <sheetFormatPr defaultColWidth="9.00390625" defaultRowHeight="12.75"/>
  <cols>
    <col min="1" max="1" width="11.125" style="2" customWidth="1"/>
    <col min="2" max="2" width="10.375" style="2" customWidth="1"/>
    <col min="3" max="3" width="14.625" style="2" customWidth="1"/>
    <col min="4" max="4" width="14.75390625" style="2" customWidth="1"/>
    <col min="5" max="5" width="16.625" style="2" customWidth="1"/>
    <col min="6" max="6" width="25.25390625" style="2" customWidth="1"/>
    <col min="7" max="7" width="14.00390625" style="2" customWidth="1"/>
    <col min="8" max="16384" width="9.125" style="2" customWidth="1"/>
  </cols>
  <sheetData>
    <row r="1" ht="12.75">
      <c r="A1" s="60" t="s">
        <v>322</v>
      </c>
    </row>
    <row r="2" spans="1:5" ht="12.75">
      <c r="A2" s="3" t="s">
        <v>37</v>
      </c>
      <c r="B2" s="4"/>
      <c r="C2" s="307" t="s">
        <v>19</v>
      </c>
      <c r="D2" s="309"/>
      <c r="E2" s="5" t="s">
        <v>15</v>
      </c>
    </row>
    <row r="3" spans="1:5" ht="12.75">
      <c r="A3" s="6"/>
      <c r="B3" s="7"/>
      <c r="C3" s="310"/>
      <c r="D3" s="312"/>
      <c r="E3" s="8" t="s">
        <v>20</v>
      </c>
    </row>
    <row r="4" spans="1:5" ht="12.75">
      <c r="A4" s="6"/>
      <c r="B4" s="7"/>
      <c r="C4" s="9" t="s">
        <v>2</v>
      </c>
      <c r="D4" s="40" t="s">
        <v>1</v>
      </c>
      <c r="E4" s="11"/>
    </row>
    <row r="5" spans="1:5" ht="12.75">
      <c r="A5" s="6"/>
      <c r="B5" s="7"/>
      <c r="C5" s="10"/>
      <c r="D5" s="10"/>
      <c r="E5" s="11"/>
    </row>
    <row r="6" spans="1:5" ht="12.75">
      <c r="A6" s="12"/>
      <c r="B6" s="7"/>
      <c r="C6" s="10"/>
      <c r="D6" s="10"/>
      <c r="E6" s="13"/>
    </row>
    <row r="7" spans="1:5" ht="13.5" thickBot="1">
      <c r="A7" s="14"/>
      <c r="B7" s="15"/>
      <c r="C7" s="16" t="s">
        <v>76</v>
      </c>
      <c r="D7" s="16" t="s">
        <v>76</v>
      </c>
      <c r="E7" s="17" t="s">
        <v>76</v>
      </c>
    </row>
    <row r="8" spans="1:5" ht="13.5" thickTop="1">
      <c r="A8" s="18" t="s">
        <v>6</v>
      </c>
      <c r="B8" s="19"/>
      <c r="C8" s="20" t="s">
        <v>7</v>
      </c>
      <c r="D8" s="22" t="s">
        <v>8</v>
      </c>
      <c r="E8" s="23" t="s">
        <v>9</v>
      </c>
    </row>
    <row r="9" spans="1:5" ht="13.5" thickBot="1">
      <c r="A9" s="24" t="s">
        <v>10</v>
      </c>
      <c r="B9" s="25"/>
      <c r="C9" s="26"/>
      <c r="D9" s="28"/>
      <c r="E9" s="29" t="s">
        <v>17</v>
      </c>
    </row>
    <row r="10" spans="1:6" ht="13.5" thickTop="1">
      <c r="A10" s="30">
        <v>25100</v>
      </c>
      <c r="B10" s="31">
        <v>1902</v>
      </c>
      <c r="C10" s="192">
        <v>0</v>
      </c>
      <c r="D10" s="192">
        <v>2428</v>
      </c>
      <c r="E10" s="193">
        <f>C10-D10</f>
        <v>-2428</v>
      </c>
      <c r="F10" s="2" t="str">
        <f>'[1]Vysledovka HV 2012-1190-22-2-20'!$E$46</f>
        <v>daňově neuznatelné náklady</v>
      </c>
    </row>
    <row r="11" spans="1:6" ht="12.75">
      <c r="A11" s="30">
        <v>25100</v>
      </c>
      <c r="B11" s="31">
        <v>2410</v>
      </c>
      <c r="C11" s="192">
        <v>0</v>
      </c>
      <c r="D11" s="192">
        <v>2775.98</v>
      </c>
      <c r="E11" s="193">
        <f aca="true" t="shared" si="0" ref="E11:E46">C11-D11</f>
        <v>-2775.98</v>
      </c>
      <c r="F11" s="2" t="s">
        <v>301</v>
      </c>
    </row>
    <row r="12" spans="1:6" ht="12.75">
      <c r="A12" s="30">
        <v>25220</v>
      </c>
      <c r="B12" s="31">
        <v>1003</v>
      </c>
      <c r="C12" s="192">
        <v>0</v>
      </c>
      <c r="D12" s="192">
        <v>62.4</v>
      </c>
      <c r="E12" s="193">
        <f t="shared" si="0"/>
        <v>-62.4</v>
      </c>
      <c r="F12" s="2" t="s">
        <v>311</v>
      </c>
    </row>
    <row r="13" spans="1:6" ht="12.75">
      <c r="A13" s="30">
        <v>25220</v>
      </c>
      <c r="B13" s="31">
        <v>1902</v>
      </c>
      <c r="C13" s="192">
        <v>0</v>
      </c>
      <c r="D13" s="192">
        <v>789.8</v>
      </c>
      <c r="E13" s="193">
        <f t="shared" si="0"/>
        <v>-789.8</v>
      </c>
      <c r="F13" s="2" t="s">
        <v>312</v>
      </c>
    </row>
    <row r="14" spans="1:6" ht="12.75">
      <c r="A14" s="30">
        <v>25300</v>
      </c>
      <c r="B14" s="31">
        <v>1902</v>
      </c>
      <c r="C14" s="192">
        <v>0</v>
      </c>
      <c r="D14" s="192">
        <v>116.4</v>
      </c>
      <c r="E14" s="193">
        <f t="shared" si="0"/>
        <v>-116.4</v>
      </c>
      <c r="F14" s="2" t="s">
        <v>312</v>
      </c>
    </row>
    <row r="15" spans="1:6" ht="12.75">
      <c r="A15" s="30">
        <v>25351</v>
      </c>
      <c r="B15" s="31">
        <v>1902</v>
      </c>
      <c r="C15" s="192">
        <v>0</v>
      </c>
      <c r="D15" s="192">
        <v>1590</v>
      </c>
      <c r="E15" s="193">
        <f t="shared" si="0"/>
        <v>-1590</v>
      </c>
      <c r="F15" s="2" t="str">
        <f>'[3]Vysledovka po uctech obratova'!$E$85</f>
        <v>daňově neuznatelné náklady</v>
      </c>
    </row>
    <row r="16" spans="1:6" ht="12.75">
      <c r="A16" s="30">
        <v>25352</v>
      </c>
      <c r="B16" s="31">
        <v>1902</v>
      </c>
      <c r="C16" s="192">
        <v>0</v>
      </c>
      <c r="D16" s="192">
        <v>5849</v>
      </c>
      <c r="E16" s="193">
        <f t="shared" si="0"/>
        <v>-5849</v>
      </c>
      <c r="F16" s="2" t="s">
        <v>312</v>
      </c>
    </row>
    <row r="17" spans="1:6" ht="12.75">
      <c r="A17" s="30">
        <v>25400</v>
      </c>
      <c r="B17" s="31">
        <v>1003</v>
      </c>
      <c r="C17" s="192">
        <v>0</v>
      </c>
      <c r="D17" s="192">
        <v>4678</v>
      </c>
      <c r="E17" s="193">
        <f t="shared" si="0"/>
        <v>-4678</v>
      </c>
      <c r="F17" s="2" t="s">
        <v>311</v>
      </c>
    </row>
    <row r="18" spans="1:6" ht="12.75">
      <c r="A18" s="30">
        <v>25400</v>
      </c>
      <c r="B18" s="31">
        <v>1902</v>
      </c>
      <c r="C18" s="192">
        <v>0</v>
      </c>
      <c r="D18" s="192">
        <v>1736</v>
      </c>
      <c r="E18" s="193">
        <f t="shared" si="0"/>
        <v>-1736</v>
      </c>
      <c r="F18" s="2" t="str">
        <f>'[3]Vysledovka po uctech obratova'!$E$136</f>
        <v>daňově neuznatelné náklady</v>
      </c>
    </row>
    <row r="19" spans="1:6" ht="12.75">
      <c r="A19" s="30">
        <v>25600</v>
      </c>
      <c r="B19" s="31">
        <v>1009</v>
      </c>
      <c r="C19" s="192">
        <v>30000</v>
      </c>
      <c r="D19" s="192">
        <v>24047.83</v>
      </c>
      <c r="E19" s="193">
        <f t="shared" si="0"/>
        <v>5952.169999999998</v>
      </c>
      <c r="F19" s="2" t="s">
        <v>311</v>
      </c>
    </row>
    <row r="20" spans="1:6" ht="12.75">
      <c r="A20" s="30">
        <v>25600</v>
      </c>
      <c r="B20" s="31">
        <v>1902</v>
      </c>
      <c r="C20" s="192">
        <v>0</v>
      </c>
      <c r="D20" s="192">
        <v>85052</v>
      </c>
      <c r="E20" s="193">
        <f t="shared" si="0"/>
        <v>-85052</v>
      </c>
      <c r="F20" s="2" t="s">
        <v>313</v>
      </c>
    </row>
    <row r="21" spans="1:6" ht="12.75">
      <c r="A21" s="30">
        <v>25610</v>
      </c>
      <c r="B21" s="31">
        <v>1902</v>
      </c>
      <c r="C21" s="192">
        <v>0</v>
      </c>
      <c r="D21" s="192">
        <v>10097</v>
      </c>
      <c r="E21" s="193">
        <f t="shared" si="0"/>
        <v>-10097</v>
      </c>
      <c r="F21" s="2" t="s">
        <v>312</v>
      </c>
    </row>
    <row r="22" spans="1:6" ht="12.75">
      <c r="A22" s="30">
        <v>25700</v>
      </c>
      <c r="B22" s="31">
        <v>1003</v>
      </c>
      <c r="C22" s="192">
        <v>0</v>
      </c>
      <c r="D22" s="192">
        <v>5660.2</v>
      </c>
      <c r="E22" s="193">
        <f t="shared" si="0"/>
        <v>-5660.2</v>
      </c>
      <c r="F22" s="2" t="s">
        <v>311</v>
      </c>
    </row>
    <row r="23" spans="1:6" ht="12.75">
      <c r="A23" s="30">
        <v>25800</v>
      </c>
      <c r="B23" s="31">
        <v>1902</v>
      </c>
      <c r="C23" s="192">
        <v>0</v>
      </c>
      <c r="D23" s="192">
        <v>10863.7</v>
      </c>
      <c r="E23" s="193">
        <f t="shared" si="0"/>
        <v>-10863.7</v>
      </c>
      <c r="F23" s="2" t="s">
        <v>312</v>
      </c>
    </row>
    <row r="24" spans="1:6" ht="12.75">
      <c r="A24" s="30">
        <v>25800</v>
      </c>
      <c r="B24" s="31">
        <v>1902</v>
      </c>
      <c r="C24" s="192">
        <v>0</v>
      </c>
      <c r="D24" s="192">
        <v>853</v>
      </c>
      <c r="E24" s="193">
        <f t="shared" si="0"/>
        <v>-853</v>
      </c>
      <c r="F24" s="2" t="str">
        <f>'[3]Vysledovka po uctech obratova'!$E$234</f>
        <v>daňově neuznatelné náklady</v>
      </c>
    </row>
    <row r="25" spans="1:6" ht="12.75">
      <c r="A25" s="30">
        <v>25820</v>
      </c>
      <c r="B25" s="31">
        <v>1003</v>
      </c>
      <c r="C25" s="192">
        <v>16660.84</v>
      </c>
      <c r="D25" s="192">
        <v>0</v>
      </c>
      <c r="E25" s="193">
        <f t="shared" si="0"/>
        <v>16660.84</v>
      </c>
      <c r="F25" s="2" t="s">
        <v>311</v>
      </c>
    </row>
    <row r="26" spans="1:6" ht="12.75">
      <c r="A26" s="30">
        <v>25830</v>
      </c>
      <c r="B26" s="31">
        <v>1902</v>
      </c>
      <c r="C26" s="192">
        <v>0</v>
      </c>
      <c r="D26" s="192">
        <v>1192</v>
      </c>
      <c r="E26" s="193">
        <f t="shared" si="0"/>
        <v>-1192</v>
      </c>
      <c r="F26" s="2" t="str">
        <f>'[3]Vysledovka po uctech obratova'!$E$269</f>
        <v>daňově neuznatelné náklady</v>
      </c>
    </row>
    <row r="27" spans="1:6" ht="12.75">
      <c r="A27" s="30">
        <v>25830</v>
      </c>
      <c r="B27" s="31">
        <v>1902</v>
      </c>
      <c r="C27" s="192">
        <v>0</v>
      </c>
      <c r="D27" s="192">
        <v>2447</v>
      </c>
      <c r="E27" s="193">
        <f t="shared" si="0"/>
        <v>-2447</v>
      </c>
      <c r="F27" s="2" t="str">
        <f>'[3]Vysledovka po uctech obratova'!$E$283</f>
        <v>daňově neuznatelné náklady</v>
      </c>
    </row>
    <row r="28" spans="1:6" ht="12.75">
      <c r="A28" s="30">
        <v>25900</v>
      </c>
      <c r="B28" s="31">
        <v>1003</v>
      </c>
      <c r="C28" s="192">
        <v>0</v>
      </c>
      <c r="D28" s="192">
        <v>102.79</v>
      </c>
      <c r="E28" s="193">
        <f t="shared" si="0"/>
        <v>-102.79</v>
      </c>
      <c r="F28" s="2" t="s">
        <v>311</v>
      </c>
    </row>
    <row r="29" spans="1:6" ht="12.75">
      <c r="A29" s="30">
        <v>25900</v>
      </c>
      <c r="B29" s="31">
        <v>1902</v>
      </c>
      <c r="C29" s="192">
        <v>0</v>
      </c>
      <c r="D29" s="192">
        <v>3770</v>
      </c>
      <c r="E29" s="193">
        <f t="shared" si="0"/>
        <v>-3770</v>
      </c>
      <c r="F29" s="2" t="s">
        <v>312</v>
      </c>
    </row>
    <row r="30" spans="1:6" ht="12.75">
      <c r="A30" s="30">
        <v>25900</v>
      </c>
      <c r="B30" s="31">
        <v>1902</v>
      </c>
      <c r="C30" s="192">
        <v>0</v>
      </c>
      <c r="D30" s="192">
        <v>1426.1</v>
      </c>
      <c r="E30" s="193">
        <f t="shared" si="0"/>
        <v>-1426.1</v>
      </c>
      <c r="F30" s="2" t="str">
        <f>'[3]Vysledovka po uctech obratova'!$E$337</f>
        <v>daňově neuznatelné náklady</v>
      </c>
    </row>
    <row r="31" spans="1:6" ht="12.75">
      <c r="A31" s="30">
        <v>25910</v>
      </c>
      <c r="B31" s="35">
        <v>1003</v>
      </c>
      <c r="C31" s="194">
        <v>0</v>
      </c>
      <c r="D31" s="194">
        <v>26793.28</v>
      </c>
      <c r="E31" s="193">
        <f t="shared" si="0"/>
        <v>-26793.28</v>
      </c>
      <c r="F31" s="2" t="s">
        <v>311</v>
      </c>
    </row>
    <row r="32" spans="1:6" ht="12.75">
      <c r="A32" s="30">
        <v>25910</v>
      </c>
      <c r="B32" s="35">
        <v>1902</v>
      </c>
      <c r="C32" s="194">
        <v>0</v>
      </c>
      <c r="D32" s="194">
        <v>196517</v>
      </c>
      <c r="E32" s="193">
        <f t="shared" si="0"/>
        <v>-196517</v>
      </c>
      <c r="F32" s="2" t="str">
        <f>'[3]Vysledovka po uctech obratova'!$E$379</f>
        <v>daňově neuznatelné náklady</v>
      </c>
    </row>
    <row r="33" spans="1:6" ht="12.75">
      <c r="A33" s="30">
        <v>25910</v>
      </c>
      <c r="B33" s="35">
        <v>1902</v>
      </c>
      <c r="C33" s="194">
        <v>0</v>
      </c>
      <c r="D33" s="194">
        <v>6635.77</v>
      </c>
      <c r="E33" s="193">
        <f t="shared" si="0"/>
        <v>-6635.77</v>
      </c>
      <c r="F33" s="2" t="s">
        <v>312</v>
      </c>
    </row>
    <row r="34" spans="1:6" ht="12.75">
      <c r="A34" s="30">
        <v>25915</v>
      </c>
      <c r="B34" s="35">
        <v>1003</v>
      </c>
      <c r="C34" s="194">
        <v>100093.81</v>
      </c>
      <c r="D34" s="194">
        <v>18290</v>
      </c>
      <c r="E34" s="193">
        <f t="shared" si="0"/>
        <v>81803.81</v>
      </c>
      <c r="F34" s="2" t="s">
        <v>311</v>
      </c>
    </row>
    <row r="35" spans="1:6" ht="12.75">
      <c r="A35" s="30">
        <v>25930</v>
      </c>
      <c r="B35" s="35">
        <v>1902</v>
      </c>
      <c r="C35" s="194">
        <v>0</v>
      </c>
      <c r="D35" s="194">
        <v>2891.86</v>
      </c>
      <c r="E35" s="193">
        <f t="shared" si="0"/>
        <v>-2891.86</v>
      </c>
      <c r="F35" s="2" t="s">
        <v>312</v>
      </c>
    </row>
    <row r="36" spans="1:6" ht="12.75">
      <c r="A36" s="30">
        <v>25940</v>
      </c>
      <c r="B36" s="35">
        <v>1003</v>
      </c>
      <c r="C36" s="194">
        <v>413.2</v>
      </c>
      <c r="D36" s="194">
        <v>0</v>
      </c>
      <c r="E36" s="193">
        <f t="shared" si="0"/>
        <v>413.2</v>
      </c>
      <c r="F36" s="2" t="s">
        <v>311</v>
      </c>
    </row>
    <row r="37" spans="1:6" ht="12.75">
      <c r="A37" s="30">
        <v>25940</v>
      </c>
      <c r="B37" s="35">
        <v>1011</v>
      </c>
      <c r="C37" s="194">
        <v>1524962.27</v>
      </c>
      <c r="D37" s="194">
        <v>700808.03</v>
      </c>
      <c r="E37" s="193">
        <f t="shared" si="0"/>
        <v>824154.24</v>
      </c>
      <c r="F37" s="2" t="s">
        <v>314</v>
      </c>
    </row>
    <row r="38" spans="1:6" ht="12.75">
      <c r="A38" s="30">
        <v>25940</v>
      </c>
      <c r="B38" s="35">
        <v>1012</v>
      </c>
      <c r="C38" s="194">
        <v>179500</v>
      </c>
      <c r="D38" s="194">
        <v>134187.97</v>
      </c>
      <c r="E38" s="193">
        <f t="shared" si="0"/>
        <v>45312.03</v>
      </c>
      <c r="F38" s="2" t="s">
        <v>315</v>
      </c>
    </row>
    <row r="39" spans="1:6" ht="12.75">
      <c r="A39" s="30">
        <v>25940</v>
      </c>
      <c r="B39" s="35">
        <v>1013</v>
      </c>
      <c r="C39" s="194">
        <v>10000</v>
      </c>
      <c r="D39" s="194">
        <v>18800.01</v>
      </c>
      <c r="E39" s="193">
        <f t="shared" si="0"/>
        <v>-8800.009999999998</v>
      </c>
      <c r="F39" s="2" t="s">
        <v>316</v>
      </c>
    </row>
    <row r="40" spans="1:6" ht="12.75">
      <c r="A40" s="30">
        <v>25940</v>
      </c>
      <c r="B40" s="35">
        <v>1015</v>
      </c>
      <c r="C40" s="194">
        <v>81818.13</v>
      </c>
      <c r="D40" s="194">
        <v>0</v>
      </c>
      <c r="E40" s="193">
        <f t="shared" si="0"/>
        <v>81818.13</v>
      </c>
      <c r="F40" s="2" t="s">
        <v>38</v>
      </c>
    </row>
    <row r="41" spans="1:6" ht="12.75">
      <c r="A41" s="30">
        <v>25940</v>
      </c>
      <c r="B41" s="35">
        <v>1021</v>
      </c>
      <c r="C41" s="194">
        <v>4500</v>
      </c>
      <c r="D41" s="194">
        <v>0</v>
      </c>
      <c r="E41" s="193">
        <f t="shared" si="0"/>
        <v>4500</v>
      </c>
      <c r="F41" s="2" t="s">
        <v>317</v>
      </c>
    </row>
    <row r="42" spans="1:6" ht="12.75">
      <c r="A42" s="30">
        <v>25950</v>
      </c>
      <c r="B42" s="35">
        <v>1003</v>
      </c>
      <c r="C42" s="194">
        <v>334301.84</v>
      </c>
      <c r="D42" s="194">
        <v>0</v>
      </c>
      <c r="E42" s="193">
        <f t="shared" si="0"/>
        <v>334301.84</v>
      </c>
      <c r="F42" s="2" t="s">
        <v>311</v>
      </c>
    </row>
    <row r="43" spans="1:6" ht="12.75">
      <c r="A43" s="30">
        <v>25950</v>
      </c>
      <c r="B43" s="35">
        <v>1005</v>
      </c>
      <c r="C43" s="194">
        <v>756.44</v>
      </c>
      <c r="D43" s="194">
        <f>0</f>
        <v>0</v>
      </c>
      <c r="E43" s="193">
        <f t="shared" si="0"/>
        <v>756.44</v>
      </c>
      <c r="F43" s="2" t="s">
        <v>318</v>
      </c>
    </row>
    <row r="44" spans="1:6" ht="12.75">
      <c r="A44" s="30">
        <v>25950</v>
      </c>
      <c r="B44" s="35">
        <v>1006</v>
      </c>
      <c r="C44" s="194">
        <v>755.6</v>
      </c>
      <c r="D44" s="194">
        <v>0</v>
      </c>
      <c r="E44" s="193">
        <f t="shared" si="0"/>
        <v>755.6</v>
      </c>
      <c r="F44" s="2" t="s">
        <v>319</v>
      </c>
    </row>
    <row r="45" spans="1:6" ht="12.75">
      <c r="A45" s="30">
        <v>25950</v>
      </c>
      <c r="B45" s="35">
        <v>1007</v>
      </c>
      <c r="C45" s="194">
        <v>324.3</v>
      </c>
      <c r="D45" s="194">
        <v>0</v>
      </c>
      <c r="E45" s="193">
        <f t="shared" si="0"/>
        <v>324.3</v>
      </c>
      <c r="F45" s="2" t="s">
        <v>320</v>
      </c>
    </row>
    <row r="46" spans="1:6" ht="12.75">
      <c r="A46" s="30">
        <v>25950</v>
      </c>
      <c r="B46" s="35">
        <v>1008</v>
      </c>
      <c r="C46" s="194">
        <v>1187.5</v>
      </c>
      <c r="D46" s="194">
        <v>0</v>
      </c>
      <c r="E46" s="193">
        <f t="shared" si="0"/>
        <v>1187.5</v>
      </c>
      <c r="F46" s="2" t="s">
        <v>321</v>
      </c>
    </row>
    <row r="47" spans="1:5" ht="13.5" thickBot="1">
      <c r="A47" s="34"/>
      <c r="B47" s="35"/>
      <c r="C47" s="36"/>
      <c r="D47" s="36"/>
      <c r="E47" s="33"/>
    </row>
    <row r="48" spans="1:5" ht="13.5" thickTop="1">
      <c r="A48" s="37" t="s">
        <v>5</v>
      </c>
      <c r="B48" s="38"/>
      <c r="C48" s="195">
        <f>SUM(C10:C47)</f>
        <v>2285273.9299999997</v>
      </c>
      <c r="D48" s="195">
        <f>SUM(D10:D47)</f>
        <v>1270461.12</v>
      </c>
      <c r="E48" s="196">
        <f>SUM(E10:E47)</f>
        <v>1014812.8099999999</v>
      </c>
    </row>
    <row r="49" spans="2:5" ht="12.75">
      <c r="B49" s="99" t="s">
        <v>168</v>
      </c>
      <c r="C49" s="197">
        <f>C48/1000</f>
        <v>2285.27393</v>
      </c>
      <c r="D49" s="197">
        <f>D48/1000</f>
        <v>1270.4611200000002</v>
      </c>
      <c r="E49" s="197">
        <f>E48/1000</f>
        <v>1014.8128099999999</v>
      </c>
    </row>
    <row r="51" ht="12.75">
      <c r="A51" s="2" t="s">
        <v>215</v>
      </c>
    </row>
    <row r="52" ht="12.75">
      <c r="A52" s="2" t="s">
        <v>45</v>
      </c>
    </row>
    <row r="53" ht="12.75">
      <c r="A53" s="2" t="s">
        <v>323</v>
      </c>
    </row>
  </sheetData>
  <sheetProtection/>
  <mergeCells count="1">
    <mergeCell ref="C2:D3"/>
  </mergeCells>
  <printOptions/>
  <pageMargins left="0" right="0" top="0.7874015748031497" bottom="0.984251968503937" header="0.5118110236220472" footer="0.5118110236220472"/>
  <pageSetup horizontalDpi="600" verticalDpi="600" orientation="portrait" paperSize="9" scale="95" r:id="rId1"/>
  <headerFooter alignWithMargins="0">
    <oddFooter>&amp;L&amp;F&amp;A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D17" sqref="D17"/>
    </sheetView>
  </sheetViews>
  <sheetFormatPr defaultColWidth="9.00390625" defaultRowHeight="12.75"/>
  <cols>
    <col min="1" max="1" width="11.125" style="2" customWidth="1"/>
    <col min="2" max="2" width="10.375" style="2" customWidth="1"/>
    <col min="3" max="3" width="14.625" style="2" customWidth="1"/>
    <col min="4" max="4" width="14.75390625" style="2" customWidth="1"/>
    <col min="5" max="5" width="16.625" style="2" customWidth="1"/>
    <col min="6" max="16384" width="9.125" style="2" customWidth="1"/>
  </cols>
  <sheetData>
    <row r="1" ht="12.75">
      <c r="A1" s="60" t="s">
        <v>325</v>
      </c>
    </row>
    <row r="2" spans="1:5" ht="12.75">
      <c r="A2" s="3" t="s">
        <v>37</v>
      </c>
      <c r="B2" s="4"/>
      <c r="C2" s="307" t="s">
        <v>14</v>
      </c>
      <c r="D2" s="309"/>
      <c r="E2" s="5" t="s">
        <v>15</v>
      </c>
    </row>
    <row r="3" spans="1:5" ht="12.75">
      <c r="A3" s="6"/>
      <c r="B3" s="7"/>
      <c r="C3" s="310"/>
      <c r="D3" s="312"/>
      <c r="E3" s="8" t="s">
        <v>18</v>
      </c>
    </row>
    <row r="4" spans="1:5" ht="12.75">
      <c r="A4" s="6"/>
      <c r="B4" s="7"/>
      <c r="C4" s="9" t="s">
        <v>2</v>
      </c>
      <c r="D4" s="40" t="s">
        <v>1</v>
      </c>
      <c r="E4" s="11"/>
    </row>
    <row r="5" spans="1:5" ht="12.75">
      <c r="A5" s="6"/>
      <c r="B5" s="7"/>
      <c r="C5" s="10"/>
      <c r="D5" s="10"/>
      <c r="E5" s="11"/>
    </row>
    <row r="6" spans="1:5" ht="12.75">
      <c r="A6" s="12"/>
      <c r="B6" s="7"/>
      <c r="C6" s="10"/>
      <c r="D6" s="10"/>
      <c r="E6" s="13"/>
    </row>
    <row r="7" spans="1:5" ht="13.5" thickBot="1">
      <c r="A7" s="14"/>
      <c r="B7" s="15"/>
      <c r="C7" s="16" t="s">
        <v>76</v>
      </c>
      <c r="D7" s="16" t="s">
        <v>76</v>
      </c>
      <c r="E7" s="17" t="s">
        <v>76</v>
      </c>
    </row>
    <row r="8" spans="1:5" ht="13.5" thickTop="1">
      <c r="A8" s="18" t="s">
        <v>6</v>
      </c>
      <c r="B8" s="19"/>
      <c r="C8" s="20" t="s">
        <v>7</v>
      </c>
      <c r="D8" s="22" t="s">
        <v>8</v>
      </c>
      <c r="E8" s="23" t="s">
        <v>9</v>
      </c>
    </row>
    <row r="9" spans="1:5" ht="13.5" thickBot="1">
      <c r="A9" s="24" t="s">
        <v>10</v>
      </c>
      <c r="B9" s="25"/>
      <c r="C9" s="26"/>
      <c r="D9" s="28"/>
      <c r="E9" s="29" t="s">
        <v>17</v>
      </c>
    </row>
    <row r="10" spans="1:6" ht="13.5" thickTop="1">
      <c r="A10" s="30">
        <v>25400</v>
      </c>
      <c r="B10" s="31">
        <v>7040</v>
      </c>
      <c r="C10" s="198">
        <v>21000</v>
      </c>
      <c r="D10" s="198">
        <v>0</v>
      </c>
      <c r="E10" s="199">
        <f>C10-D10</f>
        <v>21000</v>
      </c>
      <c r="F10" s="2" t="s">
        <v>326</v>
      </c>
    </row>
    <row r="11" spans="1:6" ht="12.75">
      <c r="A11" s="34">
        <v>25400</v>
      </c>
      <c r="B11" s="35">
        <v>7071</v>
      </c>
      <c r="C11" s="200">
        <v>125278</v>
      </c>
      <c r="D11" s="200">
        <v>104359.98</v>
      </c>
      <c r="E11" s="199">
        <f aca="true" t="shared" si="0" ref="E11:E28">C11-D11</f>
        <v>20918.020000000004</v>
      </c>
      <c r="F11" s="2" t="s">
        <v>326</v>
      </c>
    </row>
    <row r="12" spans="1:6" ht="12.75">
      <c r="A12" s="34">
        <v>25400</v>
      </c>
      <c r="B12" s="35">
        <v>7081</v>
      </c>
      <c r="C12" s="194">
        <v>136667</v>
      </c>
      <c r="D12" s="194">
        <v>99111.9</v>
      </c>
      <c r="E12" s="199">
        <f t="shared" si="0"/>
        <v>37555.100000000006</v>
      </c>
      <c r="F12" s="2" t="s">
        <v>337</v>
      </c>
    </row>
    <row r="13" spans="1:6" ht="12.75">
      <c r="A13" s="34">
        <v>25400</v>
      </c>
      <c r="B13" s="35">
        <v>7084</v>
      </c>
      <c r="C13" s="194">
        <v>40000</v>
      </c>
      <c r="D13" s="194">
        <v>39579.82</v>
      </c>
      <c r="E13" s="199">
        <f t="shared" si="0"/>
        <v>420.1800000000003</v>
      </c>
      <c r="F13" s="2" t="s">
        <v>326</v>
      </c>
    </row>
    <row r="14" spans="1:6" ht="12.75">
      <c r="A14" s="34">
        <v>25400</v>
      </c>
      <c r="B14" s="35">
        <v>7092</v>
      </c>
      <c r="C14" s="194">
        <v>195556</v>
      </c>
      <c r="D14" s="194">
        <v>160281.94</v>
      </c>
      <c r="E14" s="199">
        <f t="shared" si="0"/>
        <v>35274.06</v>
      </c>
      <c r="F14" s="2" t="s">
        <v>327</v>
      </c>
    </row>
    <row r="15" spans="1:6" ht="12.75">
      <c r="A15" s="34">
        <v>25400</v>
      </c>
      <c r="B15" s="35">
        <v>7094</v>
      </c>
      <c r="C15" s="194">
        <v>36944</v>
      </c>
      <c r="D15" s="194">
        <v>40694.91</v>
      </c>
      <c r="E15" s="199">
        <f t="shared" si="0"/>
        <v>-3750.9100000000035</v>
      </c>
      <c r="F15" s="2" t="s">
        <v>338</v>
      </c>
    </row>
    <row r="16" spans="1:6" ht="12.75">
      <c r="A16" s="34">
        <v>25400</v>
      </c>
      <c r="B16" s="35">
        <v>7100</v>
      </c>
      <c r="C16" s="194">
        <v>0</v>
      </c>
      <c r="D16" s="194">
        <v>6967.9</v>
      </c>
      <c r="E16" s="193">
        <f t="shared" si="0"/>
        <v>-6967.9</v>
      </c>
      <c r="F16" s="2" t="s">
        <v>328</v>
      </c>
    </row>
    <row r="17" spans="1:6" ht="12.75">
      <c r="A17" s="34">
        <v>25400</v>
      </c>
      <c r="B17" s="35">
        <v>7173</v>
      </c>
      <c r="C17" s="194">
        <v>166667</v>
      </c>
      <c r="D17" s="194">
        <v>155516.09</v>
      </c>
      <c r="E17" s="193">
        <f t="shared" si="0"/>
        <v>11150.910000000003</v>
      </c>
      <c r="F17" s="2" t="s">
        <v>327</v>
      </c>
    </row>
    <row r="18" spans="1:6" ht="12.75">
      <c r="A18" s="34">
        <v>25400</v>
      </c>
      <c r="B18" s="35">
        <v>7183</v>
      </c>
      <c r="C18" s="194">
        <v>79167</v>
      </c>
      <c r="D18" s="194">
        <v>72859.9</v>
      </c>
      <c r="E18" s="193">
        <f t="shared" si="0"/>
        <v>6307.100000000006</v>
      </c>
      <c r="F18" s="2" t="s">
        <v>338</v>
      </c>
    </row>
    <row r="19" spans="1:6" ht="12.75">
      <c r="A19" s="34">
        <v>25700</v>
      </c>
      <c r="B19" s="35">
        <v>7114</v>
      </c>
      <c r="C19" s="194">
        <v>93750</v>
      </c>
      <c r="D19" s="194">
        <v>93705.31</v>
      </c>
      <c r="E19" s="193">
        <f t="shared" si="0"/>
        <v>44.69000000000233</v>
      </c>
      <c r="F19" s="2" t="s">
        <v>329</v>
      </c>
    </row>
    <row r="20" spans="1:6" ht="12.75">
      <c r="A20" s="34">
        <v>25700</v>
      </c>
      <c r="B20" s="35">
        <v>7293</v>
      </c>
      <c r="C20" s="194">
        <v>112500.87</v>
      </c>
      <c r="D20" s="194">
        <v>102979.13</v>
      </c>
      <c r="E20" s="193">
        <f t="shared" si="0"/>
        <v>9521.73999999999</v>
      </c>
      <c r="F20" s="2" t="s">
        <v>329</v>
      </c>
    </row>
    <row r="21" spans="1:6" ht="12.75">
      <c r="A21" s="34">
        <v>25800</v>
      </c>
      <c r="B21" s="35">
        <v>7104</v>
      </c>
      <c r="C21" s="194">
        <v>5278</v>
      </c>
      <c r="D21" s="194">
        <v>0</v>
      </c>
      <c r="E21" s="193">
        <f t="shared" si="0"/>
        <v>5278</v>
      </c>
      <c r="F21" s="2" t="s">
        <v>330</v>
      </c>
    </row>
    <row r="22" spans="1:6" ht="12.75">
      <c r="A22" s="34">
        <v>25910</v>
      </c>
      <c r="B22" s="35">
        <v>7164</v>
      </c>
      <c r="C22" s="194">
        <v>60667</v>
      </c>
      <c r="D22" s="194">
        <v>39499.8</v>
      </c>
      <c r="E22" s="193">
        <f t="shared" si="0"/>
        <v>21167.199999999997</v>
      </c>
      <c r="F22" s="2" t="s">
        <v>331</v>
      </c>
    </row>
    <row r="23" spans="1:6" ht="12.75">
      <c r="A23" s="34">
        <v>25910</v>
      </c>
      <c r="B23" s="35">
        <v>7174</v>
      </c>
      <c r="C23" s="194">
        <v>87556</v>
      </c>
      <c r="D23" s="194">
        <v>32080</v>
      </c>
      <c r="E23" s="193">
        <f t="shared" si="0"/>
        <v>55476</v>
      </c>
      <c r="F23" s="2" t="s">
        <v>332</v>
      </c>
    </row>
    <row r="24" spans="1:6" ht="12.75">
      <c r="A24" s="34">
        <v>25910</v>
      </c>
      <c r="B24" s="35">
        <v>7332</v>
      </c>
      <c r="C24" s="194">
        <v>18400</v>
      </c>
      <c r="D24" s="194">
        <v>26934.05</v>
      </c>
      <c r="E24" s="193">
        <f t="shared" si="0"/>
        <v>-8534.05</v>
      </c>
      <c r="F24" s="2" t="s">
        <v>333</v>
      </c>
    </row>
    <row r="25" spans="1:6" ht="12.75">
      <c r="A25" s="34">
        <v>25910</v>
      </c>
      <c r="B25" s="35">
        <v>7402</v>
      </c>
      <c r="C25" s="194">
        <v>73667</v>
      </c>
      <c r="D25" s="194">
        <v>53599.98</v>
      </c>
      <c r="E25" s="193">
        <f t="shared" si="0"/>
        <v>20067.019999999997</v>
      </c>
      <c r="F25" s="201" t="s">
        <v>334</v>
      </c>
    </row>
    <row r="26" spans="1:6" ht="12.75">
      <c r="A26" s="34">
        <v>25915</v>
      </c>
      <c r="B26" s="35">
        <v>7100</v>
      </c>
      <c r="C26" s="194">
        <v>0</v>
      </c>
      <c r="D26" s="194">
        <v>72801</v>
      </c>
      <c r="E26" s="193">
        <f t="shared" si="0"/>
        <v>-72801</v>
      </c>
      <c r="F26" s="2" t="s">
        <v>328</v>
      </c>
    </row>
    <row r="27" spans="1:6" ht="12.75">
      <c r="A27" s="34">
        <v>25940</v>
      </c>
      <c r="B27" s="35">
        <v>7584</v>
      </c>
      <c r="C27" s="194">
        <v>6309.57</v>
      </c>
      <c r="D27" s="194">
        <v>7800</v>
      </c>
      <c r="E27" s="193">
        <f t="shared" si="0"/>
        <v>-1490.4300000000003</v>
      </c>
      <c r="F27" s="2" t="s">
        <v>335</v>
      </c>
    </row>
    <row r="28" spans="1:6" ht="13.5" thickBot="1">
      <c r="A28" s="34">
        <v>25940</v>
      </c>
      <c r="B28" s="35">
        <v>7783</v>
      </c>
      <c r="C28" s="194">
        <v>4000</v>
      </c>
      <c r="D28" s="194">
        <v>0</v>
      </c>
      <c r="E28" s="193">
        <f t="shared" si="0"/>
        <v>4000</v>
      </c>
      <c r="F28" s="2" t="s">
        <v>336</v>
      </c>
    </row>
    <row r="29" spans="1:5" ht="13.5" thickTop="1">
      <c r="A29" s="37" t="s">
        <v>5</v>
      </c>
      <c r="B29" s="38"/>
      <c r="C29" s="195">
        <f>SUM(C10:C28)</f>
        <v>1263407.4400000002</v>
      </c>
      <c r="D29" s="195">
        <f>SUM(D10:D28)</f>
        <v>1108771.71</v>
      </c>
      <c r="E29" s="196">
        <f>SUM(E10:E28)</f>
        <v>154635.73</v>
      </c>
    </row>
    <row r="30" spans="2:5" ht="12.75">
      <c r="B30" s="99" t="s">
        <v>168</v>
      </c>
      <c r="C30" s="197">
        <f>C29/1000</f>
        <v>1263.4074400000002</v>
      </c>
      <c r="D30" s="197">
        <f>D29/1000</f>
        <v>1108.77171</v>
      </c>
      <c r="E30" s="197">
        <f>E29/1000</f>
        <v>154.63573000000002</v>
      </c>
    </row>
    <row r="33" ht="12.75">
      <c r="A33" s="2" t="s">
        <v>221</v>
      </c>
    </row>
    <row r="34" ht="12.75">
      <c r="A34" s="2" t="s">
        <v>45</v>
      </c>
    </row>
    <row r="35" ht="12.75">
      <c r="A35" s="2" t="s">
        <v>324</v>
      </c>
    </row>
  </sheetData>
  <sheetProtection/>
  <mergeCells count="1">
    <mergeCell ref="C2:D3"/>
  </mergeCells>
  <printOptions/>
  <pageMargins left="0" right="0" top="0.5905511811023623" bottom="0.7874015748031497" header="0.5118110236220472" footer="0.5118110236220472"/>
  <pageSetup horizontalDpi="600" verticalDpi="600" orientation="portrait" paperSize="9" scale="95" r:id="rId1"/>
  <headerFooter alignWithMargins="0">
    <oddFooter>&amp;L&amp;F&amp;A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F15" sqref="F15:H15"/>
    </sheetView>
  </sheetViews>
  <sheetFormatPr defaultColWidth="9.00390625" defaultRowHeight="12.75"/>
  <cols>
    <col min="1" max="1" width="11.125" style="2" customWidth="1"/>
    <col min="2" max="2" width="10.375" style="2" customWidth="1"/>
    <col min="3" max="3" width="14.625" style="2" customWidth="1"/>
    <col min="4" max="4" width="14.75390625" style="2" customWidth="1"/>
    <col min="5" max="5" width="16.625" style="2" customWidth="1"/>
    <col min="6" max="7" width="9.125" style="2" customWidth="1"/>
    <col min="8" max="8" width="10.875" style="2" customWidth="1"/>
    <col min="9" max="16384" width="9.125" style="2" customWidth="1"/>
  </cols>
  <sheetData>
    <row r="1" ht="12.75">
      <c r="A1" s="60" t="s">
        <v>339</v>
      </c>
    </row>
    <row r="2" spans="1:5" ht="12.75">
      <c r="A2" s="3" t="s">
        <v>37</v>
      </c>
      <c r="B2" s="4"/>
      <c r="C2" s="307" t="s">
        <v>25</v>
      </c>
      <c r="D2" s="309"/>
      <c r="E2" s="5" t="s">
        <v>15</v>
      </c>
    </row>
    <row r="3" spans="1:5" ht="12.75">
      <c r="A3" s="6"/>
      <c r="B3" s="7"/>
      <c r="C3" s="310"/>
      <c r="D3" s="312"/>
      <c r="E3" s="8" t="s">
        <v>26</v>
      </c>
    </row>
    <row r="4" spans="1:5" ht="12.75">
      <c r="A4" s="6"/>
      <c r="B4" s="7"/>
      <c r="C4" s="9" t="s">
        <v>2</v>
      </c>
      <c r="D4" s="40" t="s">
        <v>1</v>
      </c>
      <c r="E4" s="11"/>
    </row>
    <row r="5" spans="1:5" ht="12.75">
      <c r="A5" s="6"/>
      <c r="B5" s="7"/>
      <c r="C5" s="10"/>
      <c r="D5" s="10"/>
      <c r="E5" s="11"/>
    </row>
    <row r="6" spans="1:5" ht="12.75">
      <c r="A6" s="12"/>
      <c r="B6" s="7"/>
      <c r="C6" s="10"/>
      <c r="D6" s="10"/>
      <c r="E6" s="13"/>
    </row>
    <row r="7" spans="1:5" ht="13.5" thickBot="1">
      <c r="A7" s="14"/>
      <c r="B7" s="15"/>
      <c r="C7" s="16" t="s">
        <v>76</v>
      </c>
      <c r="D7" s="16" t="s">
        <v>76</v>
      </c>
      <c r="E7" s="17" t="s">
        <v>76</v>
      </c>
    </row>
    <row r="8" spans="1:5" ht="13.5" thickTop="1">
      <c r="A8" s="18" t="s">
        <v>6</v>
      </c>
      <c r="B8" s="19"/>
      <c r="C8" s="20" t="s">
        <v>7</v>
      </c>
      <c r="D8" s="22" t="s">
        <v>8</v>
      </c>
      <c r="E8" s="23" t="s">
        <v>9</v>
      </c>
    </row>
    <row r="9" spans="1:5" ht="13.5" thickBot="1">
      <c r="A9" s="24" t="s">
        <v>10</v>
      </c>
      <c r="B9" s="25"/>
      <c r="C9" s="26"/>
      <c r="D9" s="28"/>
      <c r="E9" s="29" t="s">
        <v>17</v>
      </c>
    </row>
    <row r="10" spans="1:6" ht="13.5" thickTop="1">
      <c r="A10" s="30">
        <v>25300</v>
      </c>
      <c r="B10" s="31">
        <v>7124</v>
      </c>
      <c r="C10" s="192">
        <v>7870.9</v>
      </c>
      <c r="D10" s="192">
        <v>0</v>
      </c>
      <c r="E10" s="193">
        <f aca="true" t="shared" si="0" ref="E10:E15">C10-D10</f>
        <v>7870.9</v>
      </c>
      <c r="F10" s="2" t="s">
        <v>342</v>
      </c>
    </row>
    <row r="11" spans="1:6" ht="12.75">
      <c r="A11" s="34">
        <v>25800</v>
      </c>
      <c r="B11" s="35">
        <v>7064</v>
      </c>
      <c r="C11" s="194">
        <v>18890.3</v>
      </c>
      <c r="D11" s="194">
        <v>15410.03</v>
      </c>
      <c r="E11" s="193">
        <f t="shared" si="0"/>
        <v>3480.2699999999986</v>
      </c>
      <c r="F11" s="2" t="s">
        <v>343</v>
      </c>
    </row>
    <row r="12" spans="1:6" ht="12.75">
      <c r="A12" s="34">
        <v>25915</v>
      </c>
      <c r="B12" s="35">
        <v>7200</v>
      </c>
      <c r="C12" s="194">
        <v>708.4</v>
      </c>
      <c r="D12" s="194">
        <v>0</v>
      </c>
      <c r="E12" s="193">
        <f t="shared" si="0"/>
        <v>708.4</v>
      </c>
      <c r="F12" s="2" t="s">
        <v>344</v>
      </c>
    </row>
    <row r="13" spans="1:6" ht="12.75">
      <c r="A13" s="34">
        <v>25940</v>
      </c>
      <c r="B13" s="35">
        <v>7200</v>
      </c>
      <c r="C13" s="194">
        <v>3111.08</v>
      </c>
      <c r="D13" s="194">
        <v>0</v>
      </c>
      <c r="E13" s="193">
        <f t="shared" si="0"/>
        <v>3111.08</v>
      </c>
      <c r="F13" s="2" t="s">
        <v>344</v>
      </c>
    </row>
    <row r="14" spans="1:6" ht="12.75">
      <c r="A14" s="34">
        <v>25940</v>
      </c>
      <c r="B14" s="35">
        <v>7534</v>
      </c>
      <c r="C14" s="194">
        <v>75091.1</v>
      </c>
      <c r="D14" s="194">
        <v>51606.5</v>
      </c>
      <c r="E14" s="193">
        <f t="shared" si="0"/>
        <v>23484.600000000006</v>
      </c>
      <c r="F14" s="2" t="s">
        <v>345</v>
      </c>
    </row>
    <row r="15" spans="1:8" ht="27" customHeight="1">
      <c r="A15" s="34">
        <v>25940</v>
      </c>
      <c r="B15" s="35">
        <v>7873</v>
      </c>
      <c r="C15" s="194">
        <v>2479.17</v>
      </c>
      <c r="D15" s="194">
        <v>2100</v>
      </c>
      <c r="E15" s="193">
        <f t="shared" si="0"/>
        <v>379.1700000000001</v>
      </c>
      <c r="F15" s="315" t="s">
        <v>346</v>
      </c>
      <c r="G15" s="316"/>
      <c r="H15" s="316"/>
    </row>
    <row r="16" spans="1:5" ht="12.75">
      <c r="A16" s="34"/>
      <c r="B16" s="35"/>
      <c r="C16" s="194"/>
      <c r="D16" s="194"/>
      <c r="E16" s="193"/>
    </row>
    <row r="17" spans="1:5" ht="12.75">
      <c r="A17" s="34"/>
      <c r="B17" s="35"/>
      <c r="C17" s="194"/>
      <c r="D17" s="194"/>
      <c r="E17" s="193"/>
    </row>
    <row r="18" spans="1:5" ht="13.5" thickBot="1">
      <c r="A18" s="30"/>
      <c r="B18" s="31"/>
      <c r="C18" s="192"/>
      <c r="D18" s="192"/>
      <c r="E18" s="193"/>
    </row>
    <row r="19" spans="1:5" ht="13.5" thickTop="1">
      <c r="A19" s="37" t="s">
        <v>5</v>
      </c>
      <c r="B19" s="38"/>
      <c r="C19" s="195">
        <f>SUM(C10:C18)</f>
        <v>108150.95</v>
      </c>
      <c r="D19" s="195">
        <f>SUM(D10:D18)</f>
        <v>69116.53</v>
      </c>
      <c r="E19" s="195">
        <f>SUM(E10:E18)</f>
        <v>39034.42</v>
      </c>
    </row>
    <row r="20" spans="2:5" ht="12.75">
      <c r="B20" s="99" t="s">
        <v>169</v>
      </c>
      <c r="C20" s="197">
        <f>C19/1000</f>
        <v>108.15095</v>
      </c>
      <c r="D20" s="197">
        <f>D19/1000</f>
        <v>69.11653</v>
      </c>
      <c r="E20" s="197">
        <f>E19/1000</f>
        <v>39.03442</v>
      </c>
    </row>
    <row r="23" ht="12.75">
      <c r="A23" s="2" t="s">
        <v>341</v>
      </c>
    </row>
    <row r="24" ht="12.75">
      <c r="A24" s="2" t="s">
        <v>45</v>
      </c>
    </row>
    <row r="25" ht="12.75">
      <c r="A25" s="2" t="s">
        <v>340</v>
      </c>
    </row>
  </sheetData>
  <sheetProtection/>
  <mergeCells count="2">
    <mergeCell ref="C2:D3"/>
    <mergeCell ref="F15:H15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  <headerFooter alignWithMargins="0">
    <oddFooter>&amp;L&amp;F&amp;A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11.125" style="2" customWidth="1"/>
    <col min="2" max="2" width="10.375" style="2" customWidth="1"/>
    <col min="3" max="3" width="14.625" style="2" customWidth="1"/>
    <col min="4" max="4" width="14.75390625" style="2" customWidth="1"/>
    <col min="5" max="5" width="16.625" style="2" customWidth="1"/>
    <col min="6" max="16384" width="9.125" style="2" customWidth="1"/>
  </cols>
  <sheetData>
    <row r="1" ht="12.75">
      <c r="A1" s="60" t="s">
        <v>374</v>
      </c>
    </row>
    <row r="2" spans="1:5" ht="12.75">
      <c r="A2" s="3" t="s">
        <v>37</v>
      </c>
      <c r="B2" s="4"/>
      <c r="C2" s="307" t="s">
        <v>47</v>
      </c>
      <c r="D2" s="309"/>
      <c r="E2" s="5" t="s">
        <v>15</v>
      </c>
    </row>
    <row r="3" spans="1:5" ht="12.75">
      <c r="A3" s="6"/>
      <c r="B3" s="7"/>
      <c r="C3" s="310"/>
      <c r="D3" s="312"/>
      <c r="E3" s="8" t="s">
        <v>48</v>
      </c>
    </row>
    <row r="4" spans="1:5" ht="12.75">
      <c r="A4" s="6"/>
      <c r="B4" s="7"/>
      <c r="C4" s="9" t="s">
        <v>2</v>
      </c>
      <c r="D4" s="40" t="s">
        <v>1</v>
      </c>
      <c r="E4" s="11"/>
    </row>
    <row r="5" spans="1:8" ht="12.75">
      <c r="A5" s="12"/>
      <c r="B5" s="7"/>
      <c r="C5" s="10"/>
      <c r="D5" s="10"/>
      <c r="E5" s="13"/>
      <c r="H5" s="89"/>
    </row>
    <row r="6" spans="1:5" ht="13.5" thickBot="1">
      <c r="A6" s="14"/>
      <c r="B6" s="15"/>
      <c r="C6" s="16" t="s">
        <v>76</v>
      </c>
      <c r="D6" s="16" t="s">
        <v>76</v>
      </c>
      <c r="E6" s="17" t="s">
        <v>76</v>
      </c>
    </row>
    <row r="7" spans="1:5" ht="13.5" thickTop="1">
      <c r="A7" s="18" t="s">
        <v>6</v>
      </c>
      <c r="B7" s="19"/>
      <c r="C7" s="20" t="s">
        <v>7</v>
      </c>
      <c r="D7" s="22" t="s">
        <v>8</v>
      </c>
      <c r="E7" s="23" t="s">
        <v>9</v>
      </c>
    </row>
    <row r="8" spans="1:6" ht="13.5" thickBot="1">
      <c r="A8" s="85" t="s">
        <v>10</v>
      </c>
      <c r="B8" s="86"/>
      <c r="C8" s="26"/>
      <c r="D8" s="28"/>
      <c r="E8" s="29" t="s">
        <v>17</v>
      </c>
      <c r="F8" s="1" t="s">
        <v>77</v>
      </c>
    </row>
    <row r="9" spans="1:7" ht="13.5" thickTop="1">
      <c r="A9" s="88">
        <v>25351</v>
      </c>
      <c r="B9" s="90">
        <v>1680</v>
      </c>
      <c r="C9" s="203">
        <v>274000</v>
      </c>
      <c r="D9" s="203">
        <v>274000</v>
      </c>
      <c r="E9" s="202">
        <f>C9-D9</f>
        <v>0</v>
      </c>
      <c r="F9" s="88">
        <v>6849</v>
      </c>
      <c r="G9" s="2" t="s">
        <v>349</v>
      </c>
    </row>
    <row r="10" spans="1:7" ht="12.75">
      <c r="A10" s="88">
        <v>25400</v>
      </c>
      <c r="B10" s="90">
        <v>1680</v>
      </c>
      <c r="C10" s="203">
        <v>333000</v>
      </c>
      <c r="D10" s="203">
        <v>333000</v>
      </c>
      <c r="E10" s="202">
        <f>C10-D10</f>
        <v>0</v>
      </c>
      <c r="F10" s="88">
        <v>6851</v>
      </c>
      <c r="G10" s="2" t="s">
        <v>350</v>
      </c>
    </row>
    <row r="11" spans="1:7" ht="12.75">
      <c r="A11" s="88">
        <v>25700</v>
      </c>
      <c r="B11" s="90">
        <v>1680</v>
      </c>
      <c r="C11" s="203">
        <v>221000</v>
      </c>
      <c r="D11" s="203">
        <v>221000</v>
      </c>
      <c r="E11" s="202">
        <f>C11-D11</f>
        <v>0</v>
      </c>
      <c r="F11" s="88">
        <v>6848</v>
      </c>
      <c r="G11" s="2" t="s">
        <v>351</v>
      </c>
    </row>
    <row r="12" spans="1:7" ht="12.75">
      <c r="A12" s="88">
        <v>25800</v>
      </c>
      <c r="B12" s="90">
        <v>1680</v>
      </c>
      <c r="C12" s="203">
        <v>423000</v>
      </c>
      <c r="D12" s="203">
        <v>423000</v>
      </c>
      <c r="E12" s="202">
        <f aca="true" t="shared" si="0" ref="E12:E18">C12-D12</f>
        <v>0</v>
      </c>
      <c r="F12" s="88">
        <v>6847</v>
      </c>
      <c r="G12" s="2" t="s">
        <v>352</v>
      </c>
    </row>
    <row r="13" spans="1:7" ht="12.75">
      <c r="A13" s="88">
        <v>25800</v>
      </c>
      <c r="B13" s="90">
        <v>1680</v>
      </c>
      <c r="C13" s="203">
        <v>868000</v>
      </c>
      <c r="D13" s="203">
        <v>868000</v>
      </c>
      <c r="E13" s="202">
        <f t="shared" si="0"/>
        <v>0</v>
      </c>
      <c r="F13" s="88">
        <v>6850</v>
      </c>
      <c r="G13" s="2" t="s">
        <v>353</v>
      </c>
    </row>
    <row r="14" spans="1:7" ht="12.75">
      <c r="A14" s="88">
        <v>25820</v>
      </c>
      <c r="B14" s="90">
        <v>1680</v>
      </c>
      <c r="C14" s="194">
        <v>1573500</v>
      </c>
      <c r="D14" s="194">
        <v>1573500</v>
      </c>
      <c r="E14" s="202">
        <f t="shared" si="0"/>
        <v>0</v>
      </c>
      <c r="F14" s="88">
        <v>6852</v>
      </c>
      <c r="G14" s="2" t="s">
        <v>354</v>
      </c>
    </row>
    <row r="15" spans="1:6" ht="12.75">
      <c r="A15" s="128">
        <v>25</v>
      </c>
      <c r="B15" s="129">
        <v>1680</v>
      </c>
      <c r="C15" s="204">
        <f>SUM(C9:C14)</f>
        <v>3692500</v>
      </c>
      <c r="D15" s="204">
        <f>SUM(D9:D14)</f>
        <v>3692500</v>
      </c>
      <c r="E15" s="204">
        <f>SUM(E9:E14)</f>
        <v>0</v>
      </c>
      <c r="F15" s="135" t="s">
        <v>21</v>
      </c>
    </row>
    <row r="16" spans="1:7" s="93" customFormat="1" ht="12.75">
      <c r="A16" s="132">
        <v>25940</v>
      </c>
      <c r="B16" s="133">
        <v>1120</v>
      </c>
      <c r="C16" s="205">
        <v>4500000</v>
      </c>
      <c r="D16" s="205">
        <v>4500000</v>
      </c>
      <c r="E16" s="206">
        <f t="shared" si="0"/>
        <v>0</v>
      </c>
      <c r="F16" s="116">
        <v>1016</v>
      </c>
      <c r="G16" s="148" t="s">
        <v>355</v>
      </c>
    </row>
    <row r="17" spans="1:6" ht="12.75">
      <c r="A17" s="128">
        <v>25</v>
      </c>
      <c r="B17" s="129">
        <v>1120</v>
      </c>
      <c r="C17" s="204">
        <f>SUM(C16)</f>
        <v>4500000</v>
      </c>
      <c r="D17" s="204">
        <f>SUM(D16)</f>
        <v>4500000</v>
      </c>
      <c r="E17" s="207">
        <f t="shared" si="0"/>
        <v>0</v>
      </c>
      <c r="F17" s="135" t="s">
        <v>21</v>
      </c>
    </row>
    <row r="18" spans="1:7" s="148" customFormat="1" ht="12.75">
      <c r="A18" s="145">
        <v>25940</v>
      </c>
      <c r="B18" s="146">
        <v>1130</v>
      </c>
      <c r="C18" s="208">
        <v>19608</v>
      </c>
      <c r="D18" s="208">
        <v>19608</v>
      </c>
      <c r="E18" s="209">
        <f t="shared" si="0"/>
        <v>0</v>
      </c>
      <c r="F18" s="147">
        <v>1017</v>
      </c>
      <c r="G18" s="148" t="str">
        <f>'[4]Vysledovka po uctech obratova'!$E$8</f>
        <v>zahraniční studenti</v>
      </c>
    </row>
    <row r="19" spans="1:6" ht="12.75">
      <c r="A19" s="128">
        <v>25</v>
      </c>
      <c r="B19" s="129">
        <v>1130</v>
      </c>
      <c r="C19" s="204">
        <f>C18</f>
        <v>19608</v>
      </c>
      <c r="D19" s="204">
        <f>D18</f>
        <v>19608</v>
      </c>
      <c r="E19" s="204">
        <f>E18</f>
        <v>0</v>
      </c>
      <c r="F19" s="135" t="s">
        <v>21</v>
      </c>
    </row>
    <row r="20" spans="1:7" ht="12.75">
      <c r="A20" s="34">
        <v>25100</v>
      </c>
      <c r="B20" s="35">
        <v>1184</v>
      </c>
      <c r="C20" s="194">
        <v>72000</v>
      </c>
      <c r="D20" s="194">
        <v>72000</v>
      </c>
      <c r="E20" s="202">
        <f>D20-C20</f>
        <v>0</v>
      </c>
      <c r="F20" s="87">
        <v>1416</v>
      </c>
      <c r="G20" s="2" t="s">
        <v>356</v>
      </c>
    </row>
    <row r="21" spans="1:7" ht="12.75">
      <c r="A21" s="34">
        <v>25220</v>
      </c>
      <c r="B21" s="35">
        <v>1184</v>
      </c>
      <c r="C21" s="194">
        <v>72000</v>
      </c>
      <c r="D21" s="194">
        <v>72000</v>
      </c>
      <c r="E21" s="202">
        <f aca="true" t="shared" si="1" ref="E21:E27">D21-C21</f>
        <v>0</v>
      </c>
      <c r="F21" s="87">
        <v>1413</v>
      </c>
      <c r="G21" s="2" t="s">
        <v>357</v>
      </c>
    </row>
    <row r="22" spans="1:7" ht="12.75">
      <c r="A22" s="34">
        <v>25350</v>
      </c>
      <c r="B22" s="35">
        <v>1184</v>
      </c>
      <c r="C22" s="194">
        <v>62100</v>
      </c>
      <c r="D22" s="194">
        <v>62100</v>
      </c>
      <c r="E22" s="202">
        <f t="shared" si="1"/>
        <v>0</v>
      </c>
      <c r="F22" s="87">
        <v>1415</v>
      </c>
      <c r="G22" s="2" t="s">
        <v>358</v>
      </c>
    </row>
    <row r="23" spans="1:7" ht="12.75">
      <c r="A23" s="34">
        <v>25351</v>
      </c>
      <c r="B23" s="35">
        <v>1184</v>
      </c>
      <c r="C23" s="194">
        <v>81000</v>
      </c>
      <c r="D23" s="194">
        <v>81000</v>
      </c>
      <c r="E23" s="202">
        <f t="shared" si="1"/>
        <v>0</v>
      </c>
      <c r="F23" s="87">
        <v>1412</v>
      </c>
      <c r="G23" s="2" t="s">
        <v>359</v>
      </c>
    </row>
    <row r="24" spans="1:7" ht="12.75">
      <c r="A24" s="34">
        <v>25351</v>
      </c>
      <c r="B24" s="35">
        <v>1184</v>
      </c>
      <c r="C24" s="194">
        <v>24000</v>
      </c>
      <c r="D24" s="194">
        <v>24000</v>
      </c>
      <c r="E24" s="202">
        <f t="shared" si="1"/>
        <v>0</v>
      </c>
      <c r="F24" s="87">
        <v>1414</v>
      </c>
      <c r="G24" s="2" t="s">
        <v>360</v>
      </c>
    </row>
    <row r="25" spans="1:7" ht="12.75">
      <c r="A25" s="34">
        <v>25510</v>
      </c>
      <c r="B25" s="35">
        <v>1184</v>
      </c>
      <c r="C25" s="194">
        <v>81000</v>
      </c>
      <c r="D25" s="194">
        <v>81000</v>
      </c>
      <c r="E25" s="202">
        <f t="shared" si="1"/>
        <v>0</v>
      </c>
      <c r="F25" s="87">
        <v>1408</v>
      </c>
      <c r="G25" s="2" t="s">
        <v>361</v>
      </c>
    </row>
    <row r="26" spans="1:7" ht="12.75">
      <c r="A26" s="34">
        <v>25510</v>
      </c>
      <c r="B26" s="35">
        <v>1184</v>
      </c>
      <c r="C26" s="194">
        <v>71100</v>
      </c>
      <c r="D26" s="194">
        <v>71100</v>
      </c>
      <c r="E26" s="202">
        <f t="shared" si="1"/>
        <v>0</v>
      </c>
      <c r="F26" s="87">
        <v>1410</v>
      </c>
      <c r="G26" s="2" t="s">
        <v>362</v>
      </c>
    </row>
    <row r="27" spans="1:7" ht="12.75">
      <c r="A27" s="34">
        <v>25520</v>
      </c>
      <c r="B27" s="35">
        <v>1184</v>
      </c>
      <c r="C27" s="194">
        <v>75600</v>
      </c>
      <c r="D27" s="194">
        <v>75600</v>
      </c>
      <c r="E27" s="202">
        <f t="shared" si="1"/>
        <v>0</v>
      </c>
      <c r="F27" s="87">
        <v>1409</v>
      </c>
      <c r="G27" s="2" t="s">
        <v>363</v>
      </c>
    </row>
    <row r="28" spans="1:7" ht="12.75">
      <c r="A28" s="34">
        <v>25520</v>
      </c>
      <c r="B28" s="35">
        <v>1184</v>
      </c>
      <c r="C28" s="194">
        <v>75600</v>
      </c>
      <c r="D28" s="194">
        <v>75600</v>
      </c>
      <c r="E28" s="202">
        <f>D28-C28</f>
        <v>0</v>
      </c>
      <c r="F28" s="87">
        <v>1411</v>
      </c>
      <c r="G28" s="2" t="s">
        <v>364</v>
      </c>
    </row>
    <row r="29" spans="1:7" ht="12.75">
      <c r="A29" s="34">
        <v>25820</v>
      </c>
      <c r="B29" s="35">
        <v>1184</v>
      </c>
      <c r="C29" s="194">
        <v>560000</v>
      </c>
      <c r="D29" s="194">
        <v>560000</v>
      </c>
      <c r="E29" s="202">
        <f>D29-C29</f>
        <v>0</v>
      </c>
      <c r="F29" s="87">
        <v>1407</v>
      </c>
      <c r="G29" s="2" t="s">
        <v>365</v>
      </c>
    </row>
    <row r="30" spans="1:9" s="115" customFormat="1" ht="12.75">
      <c r="A30" s="34">
        <v>25830</v>
      </c>
      <c r="B30" s="35">
        <v>1184</v>
      </c>
      <c r="C30" s="194">
        <v>970000</v>
      </c>
      <c r="D30" s="194">
        <v>970000</v>
      </c>
      <c r="E30" s="202">
        <f>D30-C30</f>
        <v>0</v>
      </c>
      <c r="F30" s="87">
        <v>1405</v>
      </c>
      <c r="G30" s="2" t="s">
        <v>366</v>
      </c>
      <c r="H30" s="2"/>
      <c r="I30" s="2"/>
    </row>
    <row r="31" spans="1:9" s="115" customFormat="1" ht="12.75">
      <c r="A31" s="34">
        <v>25915</v>
      </c>
      <c r="B31" s="35">
        <v>1184</v>
      </c>
      <c r="C31" s="194">
        <v>27040</v>
      </c>
      <c r="D31" s="194">
        <v>27040</v>
      </c>
      <c r="E31" s="202">
        <f>D31-C31</f>
        <v>0</v>
      </c>
      <c r="F31" s="87">
        <v>1499</v>
      </c>
      <c r="G31" s="2" t="s">
        <v>367</v>
      </c>
      <c r="H31" s="2"/>
      <c r="I31" s="2"/>
    </row>
    <row r="32" spans="1:9" s="115" customFormat="1" ht="12.75">
      <c r="A32" s="128">
        <v>25</v>
      </c>
      <c r="B32" s="129">
        <v>1184</v>
      </c>
      <c r="C32" s="204">
        <f>SUM(C20:C31)</f>
        <v>2171440</v>
      </c>
      <c r="D32" s="204">
        <f>SUM(D20:D31)</f>
        <v>2171440</v>
      </c>
      <c r="E32" s="204">
        <f>SUM(E20:E31)</f>
        <v>0</v>
      </c>
      <c r="F32" s="135" t="s">
        <v>21</v>
      </c>
      <c r="G32" s="2"/>
      <c r="H32" s="2"/>
      <c r="I32" s="2"/>
    </row>
    <row r="33" spans="1:7" s="148" customFormat="1" ht="12.75">
      <c r="A33" s="151">
        <v>25220</v>
      </c>
      <c r="B33" s="152">
        <v>1188</v>
      </c>
      <c r="C33" s="210">
        <f>0</f>
        <v>0</v>
      </c>
      <c r="D33" s="210">
        <v>80399.97</v>
      </c>
      <c r="E33" s="208">
        <f>C33-D33</f>
        <v>-80399.97</v>
      </c>
      <c r="F33" s="147">
        <v>1801</v>
      </c>
      <c r="G33" s="148" t="s">
        <v>368</v>
      </c>
    </row>
    <row r="34" spans="1:7" s="148" customFormat="1" ht="12.75">
      <c r="A34" s="151">
        <v>25351</v>
      </c>
      <c r="B34" s="152">
        <v>1188</v>
      </c>
      <c r="C34" s="210">
        <v>0</v>
      </c>
      <c r="D34" s="210">
        <v>80399.97</v>
      </c>
      <c r="E34" s="208">
        <f>C34-D34</f>
        <v>-80399.97</v>
      </c>
      <c r="F34" s="147">
        <v>1801</v>
      </c>
      <c r="G34" s="148" t="s">
        <v>368</v>
      </c>
    </row>
    <row r="35" spans="1:7" s="148" customFormat="1" ht="12.75">
      <c r="A35" s="151">
        <v>25810</v>
      </c>
      <c r="B35" s="152">
        <v>1188</v>
      </c>
      <c r="C35" s="210">
        <v>0</v>
      </c>
      <c r="D35" s="210">
        <v>79015.76</v>
      </c>
      <c r="E35" s="208">
        <f>C35-D35</f>
        <v>-79015.76</v>
      </c>
      <c r="F35" s="147">
        <v>1801</v>
      </c>
      <c r="G35" s="148" t="s">
        <v>368</v>
      </c>
    </row>
    <row r="36" spans="1:7" s="148" customFormat="1" ht="12.75">
      <c r="A36" s="151">
        <v>25940</v>
      </c>
      <c r="B36" s="152">
        <v>1188</v>
      </c>
      <c r="C36" s="210">
        <v>244400</v>
      </c>
      <c r="D36" s="210">
        <v>4584.3</v>
      </c>
      <c r="E36" s="208">
        <f>C36-D36</f>
        <v>239815.7</v>
      </c>
      <c r="F36" s="147">
        <v>1801</v>
      </c>
      <c r="G36" s="148" t="s">
        <v>368</v>
      </c>
    </row>
    <row r="37" spans="1:10" s="60" customFormat="1" ht="12.75">
      <c r="A37" s="149">
        <v>25</v>
      </c>
      <c r="B37" s="150">
        <v>1188</v>
      </c>
      <c r="C37" s="211">
        <f>SUM(C33:C36)</f>
        <v>244400</v>
      </c>
      <c r="D37" s="211">
        <f>SUM(D33:D36)</f>
        <v>244400</v>
      </c>
      <c r="E37" s="211">
        <f>SUM(E33:E36)</f>
        <v>0</v>
      </c>
      <c r="F37" s="135" t="s">
        <v>21</v>
      </c>
      <c r="G37" s="2"/>
      <c r="H37" s="2"/>
      <c r="I37" s="2"/>
      <c r="J37" s="115"/>
    </row>
    <row r="38" spans="1:7" ht="12.75">
      <c r="A38" s="34">
        <v>25300</v>
      </c>
      <c r="B38" s="35">
        <v>1230</v>
      </c>
      <c r="C38" s="194">
        <v>561000</v>
      </c>
      <c r="D38" s="194">
        <v>561000</v>
      </c>
      <c r="E38" s="212">
        <f>C38-D38</f>
        <v>0</v>
      </c>
      <c r="F38" s="87">
        <v>2301</v>
      </c>
      <c r="G38" s="2" t="s">
        <v>369</v>
      </c>
    </row>
    <row r="39" spans="1:6" ht="12.75">
      <c r="A39" s="128">
        <v>25300</v>
      </c>
      <c r="B39" s="129">
        <v>1230</v>
      </c>
      <c r="C39" s="204">
        <f>SUM(C38)</f>
        <v>561000</v>
      </c>
      <c r="D39" s="204">
        <f>SUM(D38)</f>
        <v>561000</v>
      </c>
      <c r="E39" s="207">
        <f>C39-D39</f>
        <v>0</v>
      </c>
      <c r="F39" s="135" t="s">
        <v>21</v>
      </c>
    </row>
    <row r="40" spans="1:10" ht="12.75">
      <c r="A40" s="111">
        <v>25100</v>
      </c>
      <c r="B40" s="112">
        <v>1240</v>
      </c>
      <c r="C40" s="213">
        <v>24731.88</v>
      </c>
      <c r="D40" s="213">
        <v>24731.88</v>
      </c>
      <c r="E40" s="212">
        <f>D40-C40</f>
        <v>0</v>
      </c>
      <c r="F40" s="116">
        <v>2410</v>
      </c>
      <c r="G40" s="171" t="s">
        <v>370</v>
      </c>
      <c r="H40" s="115"/>
      <c r="I40" s="115"/>
      <c r="J40" s="115"/>
    </row>
    <row r="41" spans="1:6" ht="12.75">
      <c r="A41" s="128">
        <v>25</v>
      </c>
      <c r="B41" s="129">
        <v>1240</v>
      </c>
      <c r="C41" s="204">
        <f>SUM(C40:C40)</f>
        <v>24731.88</v>
      </c>
      <c r="D41" s="204">
        <f>SUM(D40:D40)</f>
        <v>24731.88</v>
      </c>
      <c r="E41" s="207">
        <f>C41-D41</f>
        <v>0</v>
      </c>
      <c r="F41" s="135" t="s">
        <v>21</v>
      </c>
    </row>
    <row r="43" ht="12.75">
      <c r="A43" s="2" t="s">
        <v>371</v>
      </c>
    </row>
    <row r="44" ht="12.75">
      <c r="A44" s="2" t="s">
        <v>373</v>
      </c>
    </row>
    <row r="45" ht="12.75">
      <c r="A45" s="2" t="s">
        <v>372</v>
      </c>
    </row>
  </sheetData>
  <sheetProtection/>
  <mergeCells count="1">
    <mergeCell ref="C2:D3"/>
  </mergeCells>
  <printOptions/>
  <pageMargins left="0" right="0" top="0" bottom="0.1968503937007874" header="0.5118110236220472" footer="0.11811023622047245"/>
  <pageSetup horizontalDpi="600" verticalDpi="600" orientation="landscape" paperSize="9" scale="95" r:id="rId1"/>
  <headerFooter alignWithMargins="0">
    <oddFooter>&amp;L&amp;F&amp;A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75390625" style="2" customWidth="1"/>
    <col min="2" max="2" width="6.75390625" style="2" customWidth="1"/>
    <col min="3" max="3" width="13.125" style="2" customWidth="1"/>
    <col min="4" max="4" width="14.75390625" style="2" customWidth="1"/>
    <col min="5" max="5" width="10.25390625" style="2" customWidth="1"/>
    <col min="6" max="16384" width="9.125" style="2" customWidth="1"/>
  </cols>
  <sheetData>
    <row r="1" ht="12.75">
      <c r="A1" s="60" t="s">
        <v>375</v>
      </c>
    </row>
    <row r="2" spans="1:5" ht="12.75">
      <c r="A2" s="3" t="s">
        <v>37</v>
      </c>
      <c r="B2" s="4"/>
      <c r="C2" s="307" t="s">
        <v>47</v>
      </c>
      <c r="D2" s="309"/>
      <c r="E2" s="5" t="s">
        <v>15</v>
      </c>
    </row>
    <row r="3" spans="1:5" ht="12.75">
      <c r="A3" s="6"/>
      <c r="B3" s="7"/>
      <c r="C3" s="310"/>
      <c r="D3" s="312"/>
      <c r="E3" s="8" t="s">
        <v>48</v>
      </c>
    </row>
    <row r="4" spans="1:5" ht="12.75">
      <c r="A4" s="6"/>
      <c r="B4" s="7"/>
      <c r="C4" s="9" t="s">
        <v>2</v>
      </c>
      <c r="D4" s="40" t="s">
        <v>1</v>
      </c>
      <c r="E4" s="11"/>
    </row>
    <row r="5" spans="1:5" ht="13.5" thickBot="1">
      <c r="A5" s="14"/>
      <c r="B5" s="15"/>
      <c r="C5" s="16" t="s">
        <v>76</v>
      </c>
      <c r="D5" s="16" t="s">
        <v>76</v>
      </c>
      <c r="E5" s="17" t="s">
        <v>76</v>
      </c>
    </row>
    <row r="6" spans="1:5" ht="13.5" thickTop="1">
      <c r="A6" s="18" t="s">
        <v>6</v>
      </c>
      <c r="B6" s="19"/>
      <c r="C6" s="20" t="s">
        <v>7</v>
      </c>
      <c r="D6" s="22" t="s">
        <v>8</v>
      </c>
      <c r="E6" s="23" t="s">
        <v>9</v>
      </c>
    </row>
    <row r="7" spans="1:6" ht="13.5" thickBot="1">
      <c r="A7" s="85" t="s">
        <v>10</v>
      </c>
      <c r="B7" s="86"/>
      <c r="C7" s="26"/>
      <c r="D7" s="28"/>
      <c r="E7" s="29" t="s">
        <v>17</v>
      </c>
      <c r="F7" s="1" t="s">
        <v>77</v>
      </c>
    </row>
    <row r="8" spans="1:6" s="115" customFormat="1" ht="13.5" thickTop="1">
      <c r="A8" s="151" t="s">
        <v>54</v>
      </c>
      <c r="B8" s="152" t="s">
        <v>222</v>
      </c>
      <c r="C8" s="113"/>
      <c r="D8" s="113"/>
      <c r="E8" s="114"/>
      <c r="F8" s="116"/>
    </row>
    <row r="9" spans="1:7" s="115" customFormat="1" ht="12.75">
      <c r="A9" s="111">
        <v>25600</v>
      </c>
      <c r="B9" s="112">
        <v>1350</v>
      </c>
      <c r="C9" s="213">
        <v>5172171.88</v>
      </c>
      <c r="D9" s="213">
        <v>5172171.88</v>
      </c>
      <c r="E9" s="213">
        <f>C9-D9</f>
        <v>0</v>
      </c>
      <c r="F9" s="116">
        <v>3501</v>
      </c>
      <c r="G9" s="171" t="s">
        <v>378</v>
      </c>
    </row>
    <row r="10" spans="1:7" s="115" customFormat="1" ht="12.75">
      <c r="A10" s="111">
        <v>25600</v>
      </c>
      <c r="B10" s="112">
        <v>1350</v>
      </c>
      <c r="C10" s="213">
        <v>242302.54</v>
      </c>
      <c r="D10" s="213">
        <v>242302.54</v>
      </c>
      <c r="E10" s="213">
        <f>C10-D10</f>
        <v>0</v>
      </c>
      <c r="F10" s="116">
        <v>3599</v>
      </c>
      <c r="G10" s="171" t="s">
        <v>377</v>
      </c>
    </row>
    <row r="11" spans="1:7" s="115" customFormat="1" ht="12.75">
      <c r="A11" s="111">
        <v>25915</v>
      </c>
      <c r="B11" s="112">
        <v>1350</v>
      </c>
      <c r="C11" s="213">
        <v>115600.14</v>
      </c>
      <c r="D11" s="213">
        <v>115600.14</v>
      </c>
      <c r="E11" s="213">
        <f>C11-D11</f>
        <v>0</v>
      </c>
      <c r="F11" s="116">
        <v>3599</v>
      </c>
      <c r="G11" s="171" t="s">
        <v>377</v>
      </c>
    </row>
    <row r="12" spans="1:6" s="115" customFormat="1" ht="12.75">
      <c r="A12" s="130"/>
      <c r="B12" s="131"/>
      <c r="C12" s="214">
        <f>SUM(C9:C11)</f>
        <v>5530074.56</v>
      </c>
      <c r="D12" s="214">
        <f>SUM(D9:D11)</f>
        <v>5530074.56</v>
      </c>
      <c r="E12" s="214">
        <f>SUM(E9:E11)</f>
        <v>0</v>
      </c>
      <c r="F12" s="136" t="s">
        <v>21</v>
      </c>
    </row>
    <row r="13" spans="1:7" s="115" customFormat="1" ht="12.75">
      <c r="A13" s="111">
        <v>25100</v>
      </c>
      <c r="B13" s="112">
        <v>1355</v>
      </c>
      <c r="C13" s="213">
        <v>2488030.93</v>
      </c>
      <c r="D13" s="213">
        <v>2488030.93</v>
      </c>
      <c r="E13" s="213">
        <f>C13-D13</f>
        <v>0</v>
      </c>
      <c r="F13" s="116">
        <v>3555</v>
      </c>
      <c r="G13" s="171" t="s">
        <v>379</v>
      </c>
    </row>
    <row r="14" spans="1:7" s="115" customFormat="1" ht="12.75">
      <c r="A14" s="111">
        <v>25100</v>
      </c>
      <c r="B14" s="112">
        <v>1355</v>
      </c>
      <c r="C14" s="213">
        <v>208185.99</v>
      </c>
      <c r="D14" s="213">
        <v>208185.99</v>
      </c>
      <c r="E14" s="213">
        <f aca="true" t="shared" si="0" ref="E14:E23">C14-D14</f>
        <v>0</v>
      </c>
      <c r="F14" s="116">
        <v>3599</v>
      </c>
      <c r="G14" s="171" t="s">
        <v>380</v>
      </c>
    </row>
    <row r="15" spans="1:7" s="115" customFormat="1" ht="12.75">
      <c r="A15" s="111">
        <v>25915</v>
      </c>
      <c r="B15" s="112">
        <v>1355</v>
      </c>
      <c r="C15" s="213">
        <v>55029.99</v>
      </c>
      <c r="D15" s="213">
        <v>55029.99</v>
      </c>
      <c r="E15" s="213">
        <f t="shared" si="0"/>
        <v>0</v>
      </c>
      <c r="F15" s="116">
        <v>3599</v>
      </c>
      <c r="G15" s="171" t="s">
        <v>380</v>
      </c>
    </row>
    <row r="16" spans="1:7" s="115" customFormat="1" ht="12.75">
      <c r="A16" s="215"/>
      <c r="B16" s="216"/>
      <c r="C16" s="217">
        <f>SUM(C13:C15)</f>
        <v>2751246.91</v>
      </c>
      <c r="D16" s="217">
        <f>SUM(D13:D15)</f>
        <v>2751246.91</v>
      </c>
      <c r="E16" s="217">
        <f>SUM(E13:E15)</f>
        <v>0</v>
      </c>
      <c r="F16" s="168" t="s">
        <v>21</v>
      </c>
      <c r="G16" s="171"/>
    </row>
    <row r="17" spans="1:7" s="115" customFormat="1" ht="12.75">
      <c r="A17" s="111">
        <v>25400</v>
      </c>
      <c r="B17" s="112">
        <v>1355</v>
      </c>
      <c r="C17" s="213">
        <v>369536.75</v>
      </c>
      <c r="D17" s="213">
        <v>369536.75</v>
      </c>
      <c r="E17" s="213">
        <f t="shared" si="0"/>
        <v>0</v>
      </c>
      <c r="F17" s="116">
        <v>3554</v>
      </c>
      <c r="G17" s="171" t="s">
        <v>381</v>
      </c>
    </row>
    <row r="18" spans="1:7" s="115" customFormat="1" ht="12.75">
      <c r="A18" s="111">
        <v>25400</v>
      </c>
      <c r="B18" s="112">
        <v>1355</v>
      </c>
      <c r="C18" s="213">
        <v>86928.02</v>
      </c>
      <c r="D18" s="213">
        <v>86928.02</v>
      </c>
      <c r="E18" s="213">
        <f t="shared" si="0"/>
        <v>0</v>
      </c>
      <c r="F18" s="116">
        <v>3599</v>
      </c>
      <c r="G18" s="171" t="s">
        <v>382</v>
      </c>
    </row>
    <row r="19" spans="1:7" s="115" customFormat="1" ht="12.75">
      <c r="A19" s="111">
        <v>25915</v>
      </c>
      <c r="B19" s="112">
        <v>1355</v>
      </c>
      <c r="C19" s="213">
        <v>50630</v>
      </c>
      <c r="D19" s="213">
        <v>50630</v>
      </c>
      <c r="E19" s="213">
        <f t="shared" si="0"/>
        <v>0</v>
      </c>
      <c r="F19" s="116">
        <v>3599</v>
      </c>
      <c r="G19" s="171" t="s">
        <v>382</v>
      </c>
    </row>
    <row r="20" spans="1:7" s="115" customFormat="1" ht="12.75">
      <c r="A20" s="218"/>
      <c r="B20" s="219"/>
      <c r="C20" s="217">
        <f>SUM(C17:C19)</f>
        <v>507094.77</v>
      </c>
      <c r="D20" s="217">
        <f>SUM(D17:D19)</f>
        <v>507094.77</v>
      </c>
      <c r="E20" s="217">
        <f>SUM(E17:E19)</f>
        <v>0</v>
      </c>
      <c r="F20" s="168" t="s">
        <v>21</v>
      </c>
      <c r="G20" s="171"/>
    </row>
    <row r="21" spans="1:7" s="115" customFormat="1" ht="12.75">
      <c r="A21" s="111">
        <v>25910</v>
      </c>
      <c r="B21" s="112">
        <v>1355</v>
      </c>
      <c r="C21" s="213">
        <v>445842.8</v>
      </c>
      <c r="D21" s="213">
        <v>445842.8</v>
      </c>
      <c r="E21" s="213">
        <f t="shared" si="0"/>
        <v>0</v>
      </c>
      <c r="F21" s="116">
        <v>3553</v>
      </c>
      <c r="G21" s="171" t="s">
        <v>383</v>
      </c>
    </row>
    <row r="22" spans="1:7" s="115" customFormat="1" ht="12.75">
      <c r="A22" s="111">
        <v>25910</v>
      </c>
      <c r="B22" s="112">
        <v>1355</v>
      </c>
      <c r="C22" s="213">
        <v>37122.8</v>
      </c>
      <c r="D22" s="213">
        <v>37122.8</v>
      </c>
      <c r="E22" s="213">
        <f t="shared" si="0"/>
        <v>0</v>
      </c>
      <c r="F22" s="116">
        <v>3599</v>
      </c>
      <c r="G22" s="171" t="s">
        <v>384</v>
      </c>
    </row>
    <row r="23" spans="1:7" s="115" customFormat="1" ht="12.75">
      <c r="A23" s="111">
        <v>25915</v>
      </c>
      <c r="B23" s="112">
        <v>1355</v>
      </c>
      <c r="C23" s="213">
        <v>12000</v>
      </c>
      <c r="D23" s="213">
        <v>12000</v>
      </c>
      <c r="E23" s="213">
        <f t="shared" si="0"/>
        <v>0</v>
      </c>
      <c r="F23" s="116">
        <v>3599</v>
      </c>
      <c r="G23" s="171" t="s">
        <v>384</v>
      </c>
    </row>
    <row r="24" spans="1:6" s="115" customFormat="1" ht="13.5" thickBot="1">
      <c r="A24" s="220"/>
      <c r="B24" s="221"/>
      <c r="C24" s="222">
        <f>SUM(C21:C23)</f>
        <v>494965.6</v>
      </c>
      <c r="D24" s="222">
        <f>SUM(D21:D23)</f>
        <v>494965.6</v>
      </c>
      <c r="E24" s="222">
        <f>SUM(E21:E23)</f>
        <v>0</v>
      </c>
      <c r="F24" s="223" t="s">
        <v>21</v>
      </c>
    </row>
    <row r="25" spans="1:6" s="60" customFormat="1" ht="13.5" thickBot="1">
      <c r="A25" s="224" t="s">
        <v>386</v>
      </c>
      <c r="B25" s="225" t="s">
        <v>385</v>
      </c>
      <c r="C25" s="226">
        <f>C12+C16+C20+C24</f>
        <v>9283381.84</v>
      </c>
      <c r="D25" s="226">
        <f>D12+D16+D20+D24</f>
        <v>9283381.84</v>
      </c>
      <c r="E25" s="226">
        <f>E12+E16+E20+E24</f>
        <v>0</v>
      </c>
      <c r="F25" s="227" t="s">
        <v>21</v>
      </c>
    </row>
    <row r="29" ht="12.75">
      <c r="A29" s="2" t="s">
        <v>376</v>
      </c>
    </row>
    <row r="31" ht="12.75">
      <c r="A31" s="2" t="s">
        <v>388</v>
      </c>
    </row>
    <row r="32" ht="12.75">
      <c r="A32" s="2" t="s">
        <v>389</v>
      </c>
    </row>
    <row r="33" ht="12.75">
      <c r="A33" s="2" t="s">
        <v>390</v>
      </c>
    </row>
    <row r="34" ht="12.75">
      <c r="A34" s="2" t="s">
        <v>391</v>
      </c>
    </row>
    <row r="37" ht="12.75">
      <c r="A37" s="2" t="s">
        <v>387</v>
      </c>
    </row>
  </sheetData>
  <sheetProtection/>
  <mergeCells count="1">
    <mergeCell ref="C2:D3"/>
  </mergeCells>
  <printOptions/>
  <pageMargins left="0.7874015748031497" right="0.7874015748031497" top="0.3937007874015748" bottom="0.5905511811023623" header="0.5118110236220472" footer="0.31496062992125984"/>
  <pageSetup horizontalDpi="600" verticalDpi="600" orientation="landscape" paperSize="9" r:id="rId1"/>
  <headerFooter alignWithMargins="0">
    <oddFooter>&amp;L&amp;A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Lenert</dc:creator>
  <cp:keywords/>
  <dc:description/>
  <cp:lastModifiedBy>Strungova</cp:lastModifiedBy>
  <cp:lastPrinted>2015-05-18T18:38:45Z</cp:lastPrinted>
  <dcterms:created xsi:type="dcterms:W3CDTF">2003-06-30T08:44:35Z</dcterms:created>
  <dcterms:modified xsi:type="dcterms:W3CDTF">2015-05-18T19:02:53Z</dcterms:modified>
  <cp:category/>
  <cp:version/>
  <cp:contentType/>
  <cp:contentStatus/>
</cp:coreProperties>
</file>